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7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8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stainable605.sharepoint.com/sites/SustainableEnergyAfrica/Shared Documents/Projects_SEA/145 PAIRS/3.1 Tariff Training/COS/"/>
    </mc:Choice>
  </mc:AlternateContent>
  <xr:revisionPtr revIDLastSave="0" documentId="8_{E3981FC2-941C-45E5-A80E-9F9AB6E09880}" xr6:coauthVersionLast="47" xr6:coauthVersionMax="47" xr10:uidLastSave="{00000000-0000-0000-0000-000000000000}"/>
  <bookViews>
    <workbookView xWindow="-108" yWindow="-108" windowWidth="23256" windowHeight="12456" xr2:uid="{E0DB54CC-9B75-4198-B498-B8577964774D}"/>
  </bookViews>
  <sheets>
    <sheet name="Tariffs Inputs" sheetId="1" r:id="rId1"/>
    <sheet name="Flat Tariff Dashboard" sheetId="9" r:id="rId2"/>
    <sheet name="TOU Tariff Dashboard" sheetId="10" r:id="rId3"/>
    <sheet name="Domestic FlatTariff comparison " sheetId="2" r:id="rId4"/>
    <sheet name="SPU Flat Tariff comparison" sheetId="3" r:id="rId5"/>
    <sheet name="LPU Flat Tariff comparison" sheetId="4" r:id="rId6"/>
    <sheet name="TOU Tariff Comparison LS" sheetId="6" r:id="rId7"/>
    <sheet name="TOU Tariff Comparison HS" sheetId="7" r:id="rId8"/>
    <sheet name="TOU Year comparison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B107" i="8"/>
  <c r="H108" i="8"/>
  <c r="G108" i="8"/>
  <c r="F108" i="8"/>
  <c r="E108" i="8"/>
  <c r="D108" i="8"/>
  <c r="C108" i="8"/>
  <c r="B95" i="8"/>
  <c r="H96" i="8"/>
  <c r="G96" i="8"/>
  <c r="F96" i="8"/>
  <c r="E96" i="8"/>
  <c r="D96" i="8"/>
  <c r="C96" i="8"/>
  <c r="B83" i="8"/>
  <c r="H84" i="8"/>
  <c r="G84" i="8"/>
  <c r="F84" i="8"/>
  <c r="E84" i="8"/>
  <c r="D84" i="8"/>
  <c r="C84" i="8"/>
  <c r="B71" i="8"/>
  <c r="H72" i="8"/>
  <c r="G72" i="8"/>
  <c r="F72" i="8"/>
  <c r="E72" i="8"/>
  <c r="D72" i="8"/>
  <c r="C72" i="8"/>
  <c r="B59" i="8"/>
  <c r="H60" i="8"/>
  <c r="G60" i="8"/>
  <c r="F60" i="8"/>
  <c r="E60" i="8"/>
  <c r="D60" i="8"/>
  <c r="C60" i="8"/>
  <c r="B47" i="8"/>
  <c r="H48" i="8"/>
  <c r="G48" i="8"/>
  <c r="F48" i="8"/>
  <c r="E48" i="8"/>
  <c r="D48" i="8"/>
  <c r="C48" i="8"/>
  <c r="B37" i="8"/>
  <c r="H38" i="8"/>
  <c r="G38" i="8"/>
  <c r="F38" i="8"/>
  <c r="E38" i="8"/>
  <c r="D38" i="8"/>
  <c r="C38" i="8"/>
  <c r="B27" i="8"/>
  <c r="H28" i="8"/>
  <c r="G28" i="8"/>
  <c r="F28" i="8"/>
  <c r="E28" i="8"/>
  <c r="D28" i="8"/>
  <c r="C28" i="8"/>
  <c r="B17" i="8"/>
  <c r="H18" i="8"/>
  <c r="G18" i="8"/>
  <c r="F18" i="8"/>
  <c r="E18" i="8"/>
  <c r="D18" i="8"/>
  <c r="C18" i="8"/>
  <c r="H8" i="8"/>
  <c r="G8" i="8"/>
  <c r="F8" i="8"/>
  <c r="E8" i="8"/>
  <c r="D8" i="8"/>
  <c r="C8" i="8"/>
  <c r="B7" i="8"/>
  <c r="M115" i="7"/>
  <c r="M116" i="7"/>
  <c r="M117" i="7"/>
  <c r="M118" i="7"/>
  <c r="M119" i="7"/>
  <c r="M120" i="7"/>
  <c r="M114" i="7"/>
  <c r="M102" i="7"/>
  <c r="M103" i="7"/>
  <c r="M104" i="7"/>
  <c r="M105" i="7"/>
  <c r="M106" i="7"/>
  <c r="M107" i="7"/>
  <c r="M101" i="7"/>
  <c r="M89" i="7"/>
  <c r="M90" i="7"/>
  <c r="M91" i="7"/>
  <c r="M92" i="7"/>
  <c r="M93" i="7"/>
  <c r="M94" i="7"/>
  <c r="M88" i="7"/>
  <c r="M76" i="7"/>
  <c r="M77" i="7"/>
  <c r="M78" i="7"/>
  <c r="M79" i="7"/>
  <c r="M80" i="7"/>
  <c r="M81" i="7"/>
  <c r="M75" i="7"/>
  <c r="M63" i="7"/>
  <c r="M64" i="7"/>
  <c r="M65" i="7"/>
  <c r="M66" i="7"/>
  <c r="M67" i="7"/>
  <c r="M68" i="7"/>
  <c r="M62" i="7"/>
  <c r="M50" i="7"/>
  <c r="M51" i="7"/>
  <c r="M52" i="7"/>
  <c r="M53" i="7"/>
  <c r="M54" i="7"/>
  <c r="M55" i="7"/>
  <c r="M49" i="7"/>
  <c r="M39" i="7"/>
  <c r="M40" i="7"/>
  <c r="M41" i="7"/>
  <c r="M42" i="7"/>
  <c r="M38" i="7"/>
  <c r="M28" i="7"/>
  <c r="M29" i="7"/>
  <c r="M30" i="7"/>
  <c r="M31" i="7"/>
  <c r="M27" i="7"/>
  <c r="M17" i="7"/>
  <c r="M18" i="7"/>
  <c r="M19" i="7"/>
  <c r="M20" i="7"/>
  <c r="M16" i="7"/>
  <c r="L115" i="7"/>
  <c r="L116" i="7"/>
  <c r="L117" i="7"/>
  <c r="L118" i="7"/>
  <c r="L119" i="7"/>
  <c r="L120" i="7"/>
  <c r="L114" i="7"/>
  <c r="L102" i="7"/>
  <c r="L103" i="7"/>
  <c r="L104" i="7"/>
  <c r="L105" i="7"/>
  <c r="L106" i="7"/>
  <c r="L107" i="7"/>
  <c r="L101" i="7"/>
  <c r="L89" i="7"/>
  <c r="L90" i="7"/>
  <c r="L91" i="7"/>
  <c r="L92" i="7"/>
  <c r="L93" i="7"/>
  <c r="L94" i="7"/>
  <c r="L88" i="7"/>
  <c r="L76" i="7"/>
  <c r="L77" i="7"/>
  <c r="L78" i="7"/>
  <c r="L79" i="7"/>
  <c r="L80" i="7"/>
  <c r="L81" i="7"/>
  <c r="L75" i="7"/>
  <c r="L63" i="7"/>
  <c r="L64" i="7"/>
  <c r="L65" i="7"/>
  <c r="L66" i="7"/>
  <c r="L67" i="7"/>
  <c r="L68" i="7"/>
  <c r="L62" i="7"/>
  <c r="L50" i="7"/>
  <c r="L51" i="7"/>
  <c r="L52" i="7"/>
  <c r="L53" i="7"/>
  <c r="L54" i="7"/>
  <c r="L55" i="7"/>
  <c r="L49" i="7"/>
  <c r="L39" i="7"/>
  <c r="L40" i="7"/>
  <c r="L41" i="7"/>
  <c r="L42" i="7"/>
  <c r="L38" i="7"/>
  <c r="L28" i="7"/>
  <c r="L29" i="7"/>
  <c r="L30" i="7"/>
  <c r="L31" i="7"/>
  <c r="L27" i="7"/>
  <c r="L17" i="7"/>
  <c r="L18" i="7"/>
  <c r="L19" i="7"/>
  <c r="L20" i="7"/>
  <c r="L16" i="7"/>
  <c r="K115" i="7"/>
  <c r="K116" i="7"/>
  <c r="K117" i="7"/>
  <c r="K118" i="7"/>
  <c r="K119" i="7"/>
  <c r="K120" i="7"/>
  <c r="K114" i="7"/>
  <c r="K102" i="7"/>
  <c r="K103" i="7"/>
  <c r="K104" i="7"/>
  <c r="K105" i="7"/>
  <c r="K106" i="7"/>
  <c r="K107" i="7"/>
  <c r="K101" i="7"/>
  <c r="K89" i="7"/>
  <c r="K90" i="7"/>
  <c r="K91" i="7"/>
  <c r="K92" i="7"/>
  <c r="K93" i="7"/>
  <c r="K94" i="7"/>
  <c r="K88" i="7"/>
  <c r="K76" i="7"/>
  <c r="K77" i="7"/>
  <c r="K78" i="7"/>
  <c r="K79" i="7"/>
  <c r="K80" i="7"/>
  <c r="K81" i="7"/>
  <c r="K75" i="7"/>
  <c r="K63" i="7"/>
  <c r="K64" i="7"/>
  <c r="K65" i="7"/>
  <c r="K66" i="7"/>
  <c r="K67" i="7"/>
  <c r="K68" i="7"/>
  <c r="K62" i="7"/>
  <c r="K50" i="7"/>
  <c r="K51" i="7"/>
  <c r="K52" i="7"/>
  <c r="K53" i="7"/>
  <c r="K54" i="7"/>
  <c r="K55" i="7"/>
  <c r="K49" i="7"/>
  <c r="K39" i="7"/>
  <c r="K40" i="7"/>
  <c r="K41" i="7"/>
  <c r="K42" i="7"/>
  <c r="K38" i="7"/>
  <c r="K28" i="7"/>
  <c r="K29" i="7"/>
  <c r="K30" i="7"/>
  <c r="K31" i="7"/>
  <c r="K27" i="7"/>
  <c r="K17" i="7"/>
  <c r="K18" i="7"/>
  <c r="K19" i="7"/>
  <c r="K20" i="7"/>
  <c r="K16" i="7"/>
  <c r="M6" i="7"/>
  <c r="M7" i="7"/>
  <c r="M8" i="7"/>
  <c r="M9" i="7"/>
  <c r="M5" i="7"/>
  <c r="L6" i="7"/>
  <c r="L7" i="7"/>
  <c r="L8" i="7"/>
  <c r="L9" i="7"/>
  <c r="L5" i="7"/>
  <c r="K6" i="7"/>
  <c r="K7" i="7"/>
  <c r="K8" i="7"/>
  <c r="K9" i="7"/>
  <c r="K5" i="7"/>
  <c r="G115" i="7"/>
  <c r="G116" i="7"/>
  <c r="G117" i="7"/>
  <c r="G118" i="7"/>
  <c r="G119" i="7"/>
  <c r="G120" i="7"/>
  <c r="G114" i="7"/>
  <c r="G102" i="7"/>
  <c r="G103" i="7"/>
  <c r="G104" i="7"/>
  <c r="G105" i="7"/>
  <c r="G106" i="7"/>
  <c r="G107" i="7"/>
  <c r="G101" i="7"/>
  <c r="G89" i="7"/>
  <c r="G90" i="7"/>
  <c r="G91" i="7"/>
  <c r="G92" i="7"/>
  <c r="G93" i="7"/>
  <c r="G94" i="7"/>
  <c r="G88" i="7"/>
  <c r="G76" i="7"/>
  <c r="G77" i="7"/>
  <c r="G78" i="7"/>
  <c r="G79" i="7"/>
  <c r="G80" i="7"/>
  <c r="G81" i="7"/>
  <c r="G75" i="7"/>
  <c r="G63" i="7"/>
  <c r="G64" i="7"/>
  <c r="G65" i="7"/>
  <c r="G66" i="7"/>
  <c r="G67" i="7"/>
  <c r="G68" i="7"/>
  <c r="G62" i="7"/>
  <c r="G50" i="7"/>
  <c r="G51" i="7"/>
  <c r="G52" i="7"/>
  <c r="G53" i="7"/>
  <c r="G54" i="7"/>
  <c r="G55" i="7"/>
  <c r="G49" i="7"/>
  <c r="G39" i="7"/>
  <c r="G40" i="7"/>
  <c r="G41" i="7"/>
  <c r="G42" i="7"/>
  <c r="G38" i="7"/>
  <c r="G28" i="7"/>
  <c r="G29" i="7"/>
  <c r="G30" i="7"/>
  <c r="G31" i="7"/>
  <c r="G27" i="7"/>
  <c r="G17" i="7"/>
  <c r="G18" i="7"/>
  <c r="G19" i="7"/>
  <c r="G20" i="7"/>
  <c r="G16" i="7"/>
  <c r="G6" i="7"/>
  <c r="G7" i="7"/>
  <c r="G8" i="7"/>
  <c r="G9" i="7"/>
  <c r="G5" i="7"/>
  <c r="F115" i="7"/>
  <c r="F116" i="7"/>
  <c r="F117" i="7"/>
  <c r="F118" i="7"/>
  <c r="F119" i="7"/>
  <c r="F120" i="7"/>
  <c r="F114" i="7"/>
  <c r="F102" i="7"/>
  <c r="F103" i="7"/>
  <c r="F104" i="7"/>
  <c r="F105" i="7"/>
  <c r="F106" i="7"/>
  <c r="F107" i="7"/>
  <c r="F101" i="7"/>
  <c r="F89" i="7"/>
  <c r="F90" i="7"/>
  <c r="F91" i="7"/>
  <c r="F92" i="7"/>
  <c r="F93" i="7"/>
  <c r="F94" i="7"/>
  <c r="F88" i="7"/>
  <c r="F76" i="7"/>
  <c r="F77" i="7"/>
  <c r="F78" i="7"/>
  <c r="F79" i="7"/>
  <c r="F80" i="7"/>
  <c r="F81" i="7"/>
  <c r="F75" i="7"/>
  <c r="F63" i="7"/>
  <c r="F64" i="7"/>
  <c r="F65" i="7"/>
  <c r="F66" i="7"/>
  <c r="F67" i="7"/>
  <c r="F68" i="7"/>
  <c r="F62" i="7"/>
  <c r="F50" i="7"/>
  <c r="F51" i="7"/>
  <c r="F52" i="7"/>
  <c r="F53" i="7"/>
  <c r="F54" i="7"/>
  <c r="F55" i="7"/>
  <c r="F49" i="7"/>
  <c r="F39" i="7"/>
  <c r="F40" i="7"/>
  <c r="F41" i="7"/>
  <c r="F42" i="7"/>
  <c r="F38" i="7"/>
  <c r="F28" i="7"/>
  <c r="F29" i="7"/>
  <c r="F30" i="7"/>
  <c r="F31" i="7"/>
  <c r="F27" i="7"/>
  <c r="F17" i="7"/>
  <c r="F18" i="7"/>
  <c r="F19" i="7"/>
  <c r="F20" i="7"/>
  <c r="F16" i="7"/>
  <c r="F6" i="7"/>
  <c r="F7" i="7"/>
  <c r="F8" i="7"/>
  <c r="F9" i="7"/>
  <c r="H9" i="7" s="1"/>
  <c r="D13" i="8" s="1"/>
  <c r="F5" i="7"/>
  <c r="E115" i="7"/>
  <c r="E116" i="7"/>
  <c r="E117" i="7"/>
  <c r="E118" i="7"/>
  <c r="E119" i="7"/>
  <c r="E120" i="7"/>
  <c r="E114" i="7"/>
  <c r="E102" i="7"/>
  <c r="E103" i="7"/>
  <c r="E104" i="7"/>
  <c r="E105" i="7"/>
  <c r="E106" i="7"/>
  <c r="E107" i="7"/>
  <c r="E101" i="7"/>
  <c r="E89" i="7"/>
  <c r="E90" i="7"/>
  <c r="E91" i="7"/>
  <c r="E92" i="7"/>
  <c r="E93" i="7"/>
  <c r="E94" i="7"/>
  <c r="E88" i="7"/>
  <c r="E76" i="7"/>
  <c r="E77" i="7"/>
  <c r="E78" i="7"/>
  <c r="E79" i="7"/>
  <c r="E80" i="7"/>
  <c r="E81" i="7"/>
  <c r="E75" i="7"/>
  <c r="E63" i="7"/>
  <c r="E64" i="7"/>
  <c r="E65" i="7"/>
  <c r="E66" i="7"/>
  <c r="E67" i="7"/>
  <c r="E68" i="7"/>
  <c r="E62" i="7"/>
  <c r="E50" i="7"/>
  <c r="E51" i="7"/>
  <c r="E52" i="7"/>
  <c r="E53" i="7"/>
  <c r="E54" i="7"/>
  <c r="E55" i="7"/>
  <c r="E49" i="7"/>
  <c r="E39" i="7"/>
  <c r="E40" i="7"/>
  <c r="E41" i="7"/>
  <c r="E42" i="7"/>
  <c r="E38" i="7"/>
  <c r="E28" i="7"/>
  <c r="E29" i="7"/>
  <c r="E30" i="7"/>
  <c r="E31" i="7"/>
  <c r="E27" i="7"/>
  <c r="E17" i="7"/>
  <c r="E18" i="7"/>
  <c r="E19" i="7"/>
  <c r="E20" i="7"/>
  <c r="E16" i="7"/>
  <c r="E6" i="7"/>
  <c r="E7" i="7"/>
  <c r="E8" i="7"/>
  <c r="E9" i="7"/>
  <c r="E5" i="7"/>
  <c r="J115" i="7"/>
  <c r="J116" i="7"/>
  <c r="J117" i="7"/>
  <c r="J118" i="7"/>
  <c r="J119" i="7"/>
  <c r="J120" i="7"/>
  <c r="J114" i="7"/>
  <c r="J102" i="7"/>
  <c r="J103" i="7"/>
  <c r="J104" i="7"/>
  <c r="J105" i="7"/>
  <c r="J106" i="7"/>
  <c r="J107" i="7"/>
  <c r="J101" i="7"/>
  <c r="J89" i="7"/>
  <c r="J90" i="7"/>
  <c r="J91" i="7"/>
  <c r="J92" i="7"/>
  <c r="J93" i="7"/>
  <c r="J94" i="7"/>
  <c r="J88" i="7"/>
  <c r="J76" i="7"/>
  <c r="J77" i="7"/>
  <c r="J78" i="7"/>
  <c r="J79" i="7"/>
  <c r="J80" i="7"/>
  <c r="J81" i="7"/>
  <c r="J75" i="7"/>
  <c r="J63" i="7"/>
  <c r="J64" i="7"/>
  <c r="J65" i="7"/>
  <c r="J66" i="7"/>
  <c r="J67" i="7"/>
  <c r="J68" i="7"/>
  <c r="J62" i="7"/>
  <c r="J50" i="7"/>
  <c r="J51" i="7"/>
  <c r="J52" i="7"/>
  <c r="J53" i="7"/>
  <c r="J54" i="7"/>
  <c r="J55" i="7"/>
  <c r="J49" i="7"/>
  <c r="J39" i="7"/>
  <c r="J40" i="7"/>
  <c r="J41" i="7"/>
  <c r="J42" i="7"/>
  <c r="J38" i="7"/>
  <c r="J28" i="7"/>
  <c r="J29" i="7"/>
  <c r="J30" i="7"/>
  <c r="J31" i="7"/>
  <c r="J27" i="7"/>
  <c r="J17" i="7"/>
  <c r="J18" i="7"/>
  <c r="J19" i="7"/>
  <c r="J20" i="7"/>
  <c r="J16" i="7"/>
  <c r="J9" i="7"/>
  <c r="J6" i="7"/>
  <c r="J7" i="7"/>
  <c r="J8" i="7"/>
  <c r="J5" i="7"/>
  <c r="D115" i="7"/>
  <c r="D116" i="7"/>
  <c r="D117" i="7"/>
  <c r="D118" i="7"/>
  <c r="D119" i="7"/>
  <c r="D120" i="7"/>
  <c r="D114" i="7"/>
  <c r="D102" i="7"/>
  <c r="D103" i="7"/>
  <c r="D104" i="7"/>
  <c r="D105" i="7"/>
  <c r="D106" i="7"/>
  <c r="D107" i="7"/>
  <c r="D101" i="7"/>
  <c r="D89" i="7"/>
  <c r="D90" i="7"/>
  <c r="D91" i="7"/>
  <c r="D92" i="7"/>
  <c r="D93" i="7"/>
  <c r="D94" i="7"/>
  <c r="D88" i="7"/>
  <c r="D76" i="7"/>
  <c r="D77" i="7"/>
  <c r="D78" i="7"/>
  <c r="D79" i="7"/>
  <c r="D80" i="7"/>
  <c r="D81" i="7"/>
  <c r="D75" i="7"/>
  <c r="D63" i="7"/>
  <c r="D64" i="7"/>
  <c r="D65" i="7"/>
  <c r="D66" i="7"/>
  <c r="D67" i="7"/>
  <c r="D68" i="7"/>
  <c r="D62" i="7"/>
  <c r="D50" i="7"/>
  <c r="D51" i="7"/>
  <c r="D52" i="7"/>
  <c r="D53" i="7"/>
  <c r="D54" i="7"/>
  <c r="D55" i="7"/>
  <c r="D49" i="7"/>
  <c r="D39" i="7"/>
  <c r="D40" i="7"/>
  <c r="D41" i="7"/>
  <c r="D42" i="7"/>
  <c r="D38" i="7"/>
  <c r="D28" i="7"/>
  <c r="D29" i="7"/>
  <c r="D30" i="7"/>
  <c r="D31" i="7"/>
  <c r="D27" i="7"/>
  <c r="D17" i="7"/>
  <c r="D18" i="7"/>
  <c r="D19" i="7"/>
  <c r="D20" i="7"/>
  <c r="D16" i="7"/>
  <c r="D6" i="7"/>
  <c r="D7" i="7"/>
  <c r="D8" i="7"/>
  <c r="D9" i="7"/>
  <c r="D5" i="7"/>
  <c r="I115" i="7"/>
  <c r="I116" i="7"/>
  <c r="I117" i="7"/>
  <c r="I118" i="7"/>
  <c r="I119" i="7"/>
  <c r="I120" i="7"/>
  <c r="I114" i="7"/>
  <c r="I102" i="7"/>
  <c r="I103" i="7"/>
  <c r="I104" i="7"/>
  <c r="I105" i="7"/>
  <c r="I106" i="7"/>
  <c r="I107" i="7"/>
  <c r="I101" i="7"/>
  <c r="I89" i="7"/>
  <c r="I90" i="7"/>
  <c r="I91" i="7"/>
  <c r="I92" i="7"/>
  <c r="I93" i="7"/>
  <c r="I94" i="7"/>
  <c r="I88" i="7"/>
  <c r="I76" i="7"/>
  <c r="I77" i="7"/>
  <c r="I78" i="7"/>
  <c r="I79" i="7"/>
  <c r="I80" i="7"/>
  <c r="I81" i="7"/>
  <c r="I75" i="7"/>
  <c r="I63" i="7"/>
  <c r="I64" i="7"/>
  <c r="I65" i="7"/>
  <c r="I66" i="7"/>
  <c r="I67" i="7"/>
  <c r="I68" i="7"/>
  <c r="I62" i="7"/>
  <c r="I50" i="7"/>
  <c r="I51" i="7"/>
  <c r="I52" i="7"/>
  <c r="I53" i="7"/>
  <c r="I54" i="7"/>
  <c r="I55" i="7"/>
  <c r="I49" i="7"/>
  <c r="I39" i="7"/>
  <c r="I40" i="7"/>
  <c r="I41" i="7"/>
  <c r="I42" i="7"/>
  <c r="I38" i="7"/>
  <c r="I28" i="7"/>
  <c r="I29" i="7"/>
  <c r="I30" i="7"/>
  <c r="I31" i="7"/>
  <c r="I27" i="7"/>
  <c r="I17" i="7"/>
  <c r="I18" i="7"/>
  <c r="I19" i="7"/>
  <c r="I20" i="7"/>
  <c r="I16" i="7"/>
  <c r="I6" i="7"/>
  <c r="I7" i="7"/>
  <c r="I8" i="7"/>
  <c r="I9" i="7"/>
  <c r="I5" i="7"/>
  <c r="C115" i="7"/>
  <c r="C116" i="7"/>
  <c r="C117" i="7"/>
  <c r="C118" i="7"/>
  <c r="C119" i="7"/>
  <c r="C120" i="7"/>
  <c r="H120" i="7" s="1"/>
  <c r="D115" i="8" s="1"/>
  <c r="C114" i="7"/>
  <c r="C102" i="7"/>
  <c r="C103" i="7"/>
  <c r="C104" i="7"/>
  <c r="C105" i="7"/>
  <c r="C106" i="7"/>
  <c r="C107" i="7"/>
  <c r="C101" i="7"/>
  <c r="C89" i="7"/>
  <c r="C90" i="7"/>
  <c r="C91" i="7"/>
  <c r="C92" i="7"/>
  <c r="C93" i="7"/>
  <c r="C94" i="7"/>
  <c r="C88" i="7"/>
  <c r="C76" i="7"/>
  <c r="C77" i="7"/>
  <c r="C78" i="7"/>
  <c r="C79" i="7"/>
  <c r="C80" i="7"/>
  <c r="C81" i="7"/>
  <c r="C75" i="7"/>
  <c r="C63" i="7"/>
  <c r="C64" i="7"/>
  <c r="C65" i="7"/>
  <c r="C66" i="7"/>
  <c r="C67" i="7"/>
  <c r="C68" i="7"/>
  <c r="C62" i="7"/>
  <c r="C50" i="7"/>
  <c r="C51" i="7"/>
  <c r="C52" i="7"/>
  <c r="C53" i="7"/>
  <c r="C54" i="7"/>
  <c r="C55" i="7"/>
  <c r="C49" i="7"/>
  <c r="C39" i="7"/>
  <c r="C40" i="7"/>
  <c r="C41" i="7"/>
  <c r="C42" i="7"/>
  <c r="C38" i="7"/>
  <c r="C28" i="7"/>
  <c r="C29" i="7"/>
  <c r="C30" i="7"/>
  <c r="C31" i="7"/>
  <c r="C27" i="7"/>
  <c r="C17" i="7"/>
  <c r="C18" i="7"/>
  <c r="C19" i="7"/>
  <c r="C20" i="7"/>
  <c r="C16" i="7"/>
  <c r="C6" i="7"/>
  <c r="C7" i="7"/>
  <c r="C8" i="7"/>
  <c r="C9" i="7"/>
  <c r="C5" i="7"/>
  <c r="C111" i="7"/>
  <c r="C98" i="7"/>
  <c r="C85" i="7"/>
  <c r="C72" i="7"/>
  <c r="C59" i="7"/>
  <c r="C46" i="7"/>
  <c r="C35" i="7"/>
  <c r="C24" i="7"/>
  <c r="C13" i="7"/>
  <c r="C2" i="7"/>
  <c r="I3" i="7"/>
  <c r="C3" i="7"/>
  <c r="H115" i="7"/>
  <c r="D110" i="8" s="1"/>
  <c r="H114" i="7"/>
  <c r="D109" i="8" s="1"/>
  <c r="I112" i="7"/>
  <c r="C112" i="7"/>
  <c r="J111" i="7"/>
  <c r="H102" i="7"/>
  <c r="D98" i="8" s="1"/>
  <c r="J98" i="7"/>
  <c r="H88" i="7"/>
  <c r="D85" i="8" s="1"/>
  <c r="J85" i="7"/>
  <c r="J72" i="7"/>
  <c r="H68" i="7"/>
  <c r="D67" i="8" s="1"/>
  <c r="I60" i="7"/>
  <c r="J59" i="7"/>
  <c r="H55" i="7"/>
  <c r="D55" i="8" s="1"/>
  <c r="J46" i="7"/>
  <c r="H38" i="7"/>
  <c r="D39" i="8" s="1"/>
  <c r="J35" i="7"/>
  <c r="I25" i="7"/>
  <c r="J24" i="7"/>
  <c r="C14" i="7"/>
  <c r="J13" i="7"/>
  <c r="H5" i="7"/>
  <c r="D9" i="8" s="1"/>
  <c r="J2" i="7"/>
  <c r="I112" i="6"/>
  <c r="I99" i="6"/>
  <c r="I86" i="6"/>
  <c r="I73" i="6"/>
  <c r="I60" i="6"/>
  <c r="I47" i="6"/>
  <c r="I36" i="6"/>
  <c r="I25" i="6"/>
  <c r="I14" i="6"/>
  <c r="I3" i="6"/>
  <c r="C112" i="6"/>
  <c r="C99" i="6"/>
  <c r="C86" i="6"/>
  <c r="C73" i="6"/>
  <c r="C60" i="6"/>
  <c r="C47" i="6"/>
  <c r="C36" i="6"/>
  <c r="C25" i="6"/>
  <c r="C14" i="6"/>
  <c r="C3" i="6"/>
  <c r="M115" i="6"/>
  <c r="M116" i="6"/>
  <c r="M117" i="6"/>
  <c r="M118" i="6"/>
  <c r="M119" i="6"/>
  <c r="M120" i="6"/>
  <c r="M114" i="6"/>
  <c r="L115" i="6"/>
  <c r="L116" i="6"/>
  <c r="L117" i="6"/>
  <c r="L118" i="6"/>
  <c r="L119" i="6"/>
  <c r="L120" i="6"/>
  <c r="L114" i="6"/>
  <c r="K115" i="6"/>
  <c r="K116" i="6"/>
  <c r="K117" i="6"/>
  <c r="K118" i="6"/>
  <c r="K119" i="6"/>
  <c r="K120" i="6"/>
  <c r="K114" i="6"/>
  <c r="J115" i="6"/>
  <c r="J116" i="6"/>
  <c r="J117" i="6"/>
  <c r="J118" i="6"/>
  <c r="J119" i="6"/>
  <c r="J120" i="6"/>
  <c r="J114" i="6"/>
  <c r="I115" i="6"/>
  <c r="I116" i="6"/>
  <c r="I117" i="6"/>
  <c r="I118" i="6"/>
  <c r="I119" i="6"/>
  <c r="I120" i="6"/>
  <c r="I114" i="6"/>
  <c r="G115" i="6"/>
  <c r="G116" i="6"/>
  <c r="G117" i="6"/>
  <c r="G118" i="6"/>
  <c r="G119" i="6"/>
  <c r="G120" i="6"/>
  <c r="G114" i="6"/>
  <c r="F115" i="6"/>
  <c r="F116" i="6"/>
  <c r="F117" i="6"/>
  <c r="F118" i="6"/>
  <c r="F119" i="6"/>
  <c r="F120" i="6"/>
  <c r="F114" i="6"/>
  <c r="E115" i="6"/>
  <c r="E116" i="6"/>
  <c r="E117" i="6"/>
  <c r="E118" i="6"/>
  <c r="E119" i="6"/>
  <c r="E120" i="6"/>
  <c r="E114" i="6"/>
  <c r="D115" i="6"/>
  <c r="D116" i="6"/>
  <c r="D117" i="6"/>
  <c r="D118" i="6"/>
  <c r="D119" i="6"/>
  <c r="D120" i="6"/>
  <c r="D114" i="6"/>
  <c r="C115" i="6"/>
  <c r="C116" i="6"/>
  <c r="C117" i="6"/>
  <c r="C118" i="6"/>
  <c r="C119" i="6"/>
  <c r="C120" i="6"/>
  <c r="C114" i="6"/>
  <c r="C111" i="6"/>
  <c r="H115" i="6"/>
  <c r="C110" i="8" s="1"/>
  <c r="J111" i="6"/>
  <c r="M102" i="6"/>
  <c r="M103" i="6"/>
  <c r="M104" i="6"/>
  <c r="M105" i="6"/>
  <c r="M106" i="6"/>
  <c r="M107" i="6"/>
  <c r="M101" i="6"/>
  <c r="L102" i="6"/>
  <c r="L103" i="6"/>
  <c r="L104" i="6"/>
  <c r="L105" i="6"/>
  <c r="L106" i="6"/>
  <c r="L107" i="6"/>
  <c r="L101" i="6"/>
  <c r="K102" i="6"/>
  <c r="K103" i="6"/>
  <c r="K104" i="6"/>
  <c r="K105" i="6"/>
  <c r="K106" i="6"/>
  <c r="K107" i="6"/>
  <c r="K101" i="6"/>
  <c r="J102" i="6"/>
  <c r="J103" i="6"/>
  <c r="J104" i="6"/>
  <c r="J105" i="6"/>
  <c r="J106" i="6"/>
  <c r="J107" i="6"/>
  <c r="J101" i="6"/>
  <c r="I102" i="6"/>
  <c r="I103" i="6"/>
  <c r="I104" i="6"/>
  <c r="I105" i="6"/>
  <c r="I106" i="6"/>
  <c r="I107" i="6"/>
  <c r="I101" i="6"/>
  <c r="G102" i="6"/>
  <c r="G103" i="6"/>
  <c r="G104" i="6"/>
  <c r="G105" i="6"/>
  <c r="G106" i="6"/>
  <c r="G107" i="6"/>
  <c r="G101" i="6"/>
  <c r="F102" i="6"/>
  <c r="F103" i="6"/>
  <c r="F104" i="6"/>
  <c r="F105" i="6"/>
  <c r="F106" i="6"/>
  <c r="F107" i="6"/>
  <c r="F101" i="6"/>
  <c r="E102" i="6"/>
  <c r="E103" i="6"/>
  <c r="E104" i="6"/>
  <c r="E105" i="6"/>
  <c r="E106" i="6"/>
  <c r="E107" i="6"/>
  <c r="E101" i="6"/>
  <c r="D102" i="6"/>
  <c r="D103" i="6"/>
  <c r="D104" i="6"/>
  <c r="D105" i="6"/>
  <c r="D106" i="6"/>
  <c r="D107" i="6"/>
  <c r="D101" i="6"/>
  <c r="C102" i="6"/>
  <c r="C103" i="6"/>
  <c r="C104" i="6"/>
  <c r="C105" i="6"/>
  <c r="C106" i="6"/>
  <c r="C107" i="6"/>
  <c r="C101" i="6"/>
  <c r="C98" i="6"/>
  <c r="J98" i="6"/>
  <c r="L89" i="6"/>
  <c r="L90" i="6"/>
  <c r="L91" i="6"/>
  <c r="L92" i="6"/>
  <c r="L93" i="6"/>
  <c r="L94" i="6"/>
  <c r="L88" i="6"/>
  <c r="K89" i="6"/>
  <c r="K90" i="6"/>
  <c r="K91" i="6"/>
  <c r="K92" i="6"/>
  <c r="K93" i="6"/>
  <c r="K94" i="6"/>
  <c r="K88" i="6"/>
  <c r="J89" i="6"/>
  <c r="J90" i="6"/>
  <c r="J91" i="6"/>
  <c r="J92" i="6"/>
  <c r="J93" i="6"/>
  <c r="J94" i="6"/>
  <c r="J88" i="6"/>
  <c r="I89" i="6"/>
  <c r="I90" i="6"/>
  <c r="I91" i="6"/>
  <c r="I92" i="6"/>
  <c r="I93" i="6"/>
  <c r="I94" i="6"/>
  <c r="I88" i="6"/>
  <c r="F89" i="6"/>
  <c r="F90" i="6"/>
  <c r="F91" i="6"/>
  <c r="F92" i="6"/>
  <c r="F93" i="6"/>
  <c r="F94" i="6"/>
  <c r="F88" i="6"/>
  <c r="E89" i="6"/>
  <c r="E90" i="6"/>
  <c r="E91" i="6"/>
  <c r="E92" i="6"/>
  <c r="E93" i="6"/>
  <c r="E94" i="6"/>
  <c r="E88" i="6"/>
  <c r="D89" i="6"/>
  <c r="D90" i="6"/>
  <c r="D91" i="6"/>
  <c r="D92" i="6"/>
  <c r="D93" i="6"/>
  <c r="D94" i="6"/>
  <c r="D88" i="6"/>
  <c r="C89" i="6"/>
  <c r="C90" i="6"/>
  <c r="C91" i="6"/>
  <c r="C92" i="6"/>
  <c r="C93" i="6"/>
  <c r="C94" i="6"/>
  <c r="C88" i="6"/>
  <c r="C85" i="6"/>
  <c r="C72" i="6"/>
  <c r="J85" i="6"/>
  <c r="G89" i="6" s="1"/>
  <c r="M76" i="6"/>
  <c r="M77" i="6"/>
  <c r="M78" i="6"/>
  <c r="M79" i="6"/>
  <c r="M80" i="6"/>
  <c r="M81" i="6"/>
  <c r="M75" i="6"/>
  <c r="L76" i="6"/>
  <c r="L77" i="6"/>
  <c r="L78" i="6"/>
  <c r="L79" i="6"/>
  <c r="L80" i="6"/>
  <c r="L81" i="6"/>
  <c r="L75" i="6"/>
  <c r="K76" i="6"/>
  <c r="K77" i="6"/>
  <c r="K78" i="6"/>
  <c r="K79" i="6"/>
  <c r="K80" i="6"/>
  <c r="K81" i="6"/>
  <c r="K75" i="6"/>
  <c r="J76" i="6"/>
  <c r="J77" i="6"/>
  <c r="J78" i="6"/>
  <c r="J79" i="6"/>
  <c r="J80" i="6"/>
  <c r="J81" i="6"/>
  <c r="J75" i="6"/>
  <c r="I76" i="6"/>
  <c r="I77" i="6"/>
  <c r="I78" i="6"/>
  <c r="I79" i="6"/>
  <c r="I80" i="6"/>
  <c r="I81" i="6"/>
  <c r="I75" i="6"/>
  <c r="G76" i="6"/>
  <c r="G77" i="6"/>
  <c r="G78" i="6"/>
  <c r="G79" i="6"/>
  <c r="G80" i="6"/>
  <c r="G81" i="6"/>
  <c r="G75" i="6"/>
  <c r="F76" i="6"/>
  <c r="F77" i="6"/>
  <c r="F78" i="6"/>
  <c r="F79" i="6"/>
  <c r="F80" i="6"/>
  <c r="F81" i="6"/>
  <c r="F75" i="6"/>
  <c r="E76" i="6"/>
  <c r="E77" i="6"/>
  <c r="E78" i="6"/>
  <c r="E79" i="6"/>
  <c r="E80" i="6"/>
  <c r="E81" i="6"/>
  <c r="E75" i="6"/>
  <c r="D76" i="6"/>
  <c r="D77" i="6"/>
  <c r="D78" i="6"/>
  <c r="D79" i="6"/>
  <c r="D80" i="6"/>
  <c r="D81" i="6"/>
  <c r="D75" i="6"/>
  <c r="C76" i="6"/>
  <c r="C77" i="6"/>
  <c r="C78" i="6"/>
  <c r="C79" i="6"/>
  <c r="C80" i="6"/>
  <c r="C81" i="6"/>
  <c r="C75" i="6"/>
  <c r="H79" i="6"/>
  <c r="C77" i="8" s="1"/>
  <c r="N77" i="6"/>
  <c r="F75" i="8" s="1"/>
  <c r="J72" i="6"/>
  <c r="M63" i="6"/>
  <c r="M64" i="6"/>
  <c r="M65" i="6"/>
  <c r="M66" i="6"/>
  <c r="M67" i="6"/>
  <c r="M68" i="6"/>
  <c r="M62" i="6"/>
  <c r="L63" i="6"/>
  <c r="L64" i="6"/>
  <c r="L65" i="6"/>
  <c r="L66" i="6"/>
  <c r="L67" i="6"/>
  <c r="L68" i="6"/>
  <c r="L62" i="6"/>
  <c r="K63" i="6"/>
  <c r="K64" i="6"/>
  <c r="K65" i="6"/>
  <c r="K66" i="6"/>
  <c r="K67" i="6"/>
  <c r="K68" i="6"/>
  <c r="K62" i="6"/>
  <c r="J63" i="6"/>
  <c r="J64" i="6"/>
  <c r="J65" i="6"/>
  <c r="J66" i="6"/>
  <c r="J67" i="6"/>
  <c r="J68" i="6"/>
  <c r="J62" i="6"/>
  <c r="I63" i="6"/>
  <c r="I64" i="6"/>
  <c r="I65" i="6"/>
  <c r="I66" i="6"/>
  <c r="I67" i="6"/>
  <c r="I68" i="6"/>
  <c r="I62" i="6"/>
  <c r="G63" i="6"/>
  <c r="G64" i="6"/>
  <c r="G65" i="6"/>
  <c r="G66" i="6"/>
  <c r="G67" i="6"/>
  <c r="G68" i="6"/>
  <c r="G62" i="6"/>
  <c r="F63" i="6"/>
  <c r="F64" i="6"/>
  <c r="F65" i="6"/>
  <c r="F66" i="6"/>
  <c r="F67" i="6"/>
  <c r="F68" i="6"/>
  <c r="F62" i="6"/>
  <c r="E63" i="6"/>
  <c r="E64" i="6"/>
  <c r="E65" i="6"/>
  <c r="E66" i="6"/>
  <c r="E67" i="6"/>
  <c r="E68" i="6"/>
  <c r="E62" i="6"/>
  <c r="D63" i="6"/>
  <c r="D64" i="6"/>
  <c r="D65" i="6"/>
  <c r="D66" i="6"/>
  <c r="D67" i="6"/>
  <c r="D68" i="6"/>
  <c r="D62" i="6"/>
  <c r="C63" i="6"/>
  <c r="C64" i="6"/>
  <c r="C65" i="6"/>
  <c r="C66" i="6"/>
  <c r="C67" i="6"/>
  <c r="C68" i="6"/>
  <c r="C62" i="6"/>
  <c r="C59" i="6"/>
  <c r="N68" i="6"/>
  <c r="F67" i="8" s="1"/>
  <c r="N67" i="6"/>
  <c r="F66" i="8" s="1"/>
  <c r="H67" i="6"/>
  <c r="C66" i="8" s="1"/>
  <c r="N66" i="6"/>
  <c r="F65" i="8" s="1"/>
  <c r="N65" i="6"/>
  <c r="F64" i="8" s="1"/>
  <c r="J59" i="6"/>
  <c r="M50" i="6"/>
  <c r="M51" i="6"/>
  <c r="M52" i="6"/>
  <c r="M53" i="6"/>
  <c r="M54" i="6"/>
  <c r="M55" i="6"/>
  <c r="M49" i="6"/>
  <c r="L50" i="6"/>
  <c r="L51" i="6"/>
  <c r="L52" i="6"/>
  <c r="L53" i="6"/>
  <c r="L54" i="6"/>
  <c r="L55" i="6"/>
  <c r="L49" i="6"/>
  <c r="K50" i="6"/>
  <c r="K51" i="6"/>
  <c r="K52" i="6"/>
  <c r="K53" i="6"/>
  <c r="K54" i="6"/>
  <c r="K55" i="6"/>
  <c r="K49" i="6"/>
  <c r="J50" i="6"/>
  <c r="J51" i="6"/>
  <c r="J52" i="6"/>
  <c r="J53" i="6"/>
  <c r="J54" i="6"/>
  <c r="J55" i="6"/>
  <c r="J49" i="6"/>
  <c r="I50" i="6"/>
  <c r="N50" i="6" s="1"/>
  <c r="F50" i="8" s="1"/>
  <c r="I51" i="6"/>
  <c r="N51" i="6" s="1"/>
  <c r="F51" i="8" s="1"/>
  <c r="I52" i="6"/>
  <c r="N52" i="6" s="1"/>
  <c r="F52" i="8" s="1"/>
  <c r="I53" i="6"/>
  <c r="N53" i="6" s="1"/>
  <c r="F53" i="8" s="1"/>
  <c r="I54" i="6"/>
  <c r="I55" i="6"/>
  <c r="N55" i="6" s="1"/>
  <c r="F55" i="8" s="1"/>
  <c r="I49" i="6"/>
  <c r="G50" i="6"/>
  <c r="G51" i="6"/>
  <c r="G52" i="6"/>
  <c r="G53" i="6"/>
  <c r="G54" i="6"/>
  <c r="G55" i="6"/>
  <c r="G49" i="6"/>
  <c r="F50" i="6"/>
  <c r="F51" i="6"/>
  <c r="F52" i="6"/>
  <c r="F53" i="6"/>
  <c r="F54" i="6"/>
  <c r="F55" i="6"/>
  <c r="F49" i="6"/>
  <c r="E50" i="6"/>
  <c r="E51" i="6"/>
  <c r="E52" i="6"/>
  <c r="E53" i="6"/>
  <c r="E54" i="6"/>
  <c r="E55" i="6"/>
  <c r="E49" i="6"/>
  <c r="C46" i="6"/>
  <c r="D50" i="6"/>
  <c r="H50" i="6" s="1"/>
  <c r="C50" i="8" s="1"/>
  <c r="D51" i="6"/>
  <c r="H51" i="6" s="1"/>
  <c r="C51" i="8" s="1"/>
  <c r="D52" i="6"/>
  <c r="H52" i="6" s="1"/>
  <c r="D53" i="6"/>
  <c r="H53" i="6" s="1"/>
  <c r="D54" i="6"/>
  <c r="H54" i="6" s="1"/>
  <c r="C54" i="8" s="1"/>
  <c r="D55" i="6"/>
  <c r="H55" i="6" s="1"/>
  <c r="C55" i="8" s="1"/>
  <c r="D49" i="6"/>
  <c r="C50" i="6"/>
  <c r="C51" i="6"/>
  <c r="C52" i="6"/>
  <c r="C53" i="6"/>
  <c r="C54" i="6"/>
  <c r="C55" i="6"/>
  <c r="C49" i="6"/>
  <c r="J46" i="6"/>
  <c r="M39" i="6"/>
  <c r="M40" i="6"/>
  <c r="M41" i="6"/>
  <c r="M42" i="6"/>
  <c r="M38" i="6"/>
  <c r="L42" i="6"/>
  <c r="L39" i="6"/>
  <c r="L40" i="6"/>
  <c r="L41" i="6"/>
  <c r="L38" i="6"/>
  <c r="K39" i="6"/>
  <c r="K40" i="6"/>
  <c r="K41" i="6"/>
  <c r="K42" i="6"/>
  <c r="K38" i="6"/>
  <c r="J39" i="6"/>
  <c r="J40" i="6"/>
  <c r="J41" i="6"/>
  <c r="J42" i="6"/>
  <c r="J38" i="6"/>
  <c r="I39" i="6"/>
  <c r="I40" i="6"/>
  <c r="I41" i="6"/>
  <c r="I42" i="6"/>
  <c r="I38" i="6"/>
  <c r="G39" i="6"/>
  <c r="F39" i="6"/>
  <c r="F40" i="6"/>
  <c r="F41" i="6"/>
  <c r="F42" i="6"/>
  <c r="F38" i="6"/>
  <c r="E39" i="6"/>
  <c r="E40" i="6"/>
  <c r="E41" i="6"/>
  <c r="E42" i="6"/>
  <c r="E38" i="6"/>
  <c r="D39" i="6"/>
  <c r="D40" i="6"/>
  <c r="D41" i="6"/>
  <c r="D42" i="6"/>
  <c r="D38" i="6"/>
  <c r="C39" i="6"/>
  <c r="C40" i="6"/>
  <c r="C41" i="6"/>
  <c r="C42" i="6"/>
  <c r="C38" i="6"/>
  <c r="C35" i="6"/>
  <c r="J35" i="6"/>
  <c r="L28" i="6"/>
  <c r="L29" i="6"/>
  <c r="L30" i="6"/>
  <c r="L31" i="6"/>
  <c r="L27" i="6"/>
  <c r="K28" i="6"/>
  <c r="K29" i="6"/>
  <c r="K30" i="6"/>
  <c r="K31" i="6"/>
  <c r="K27" i="6"/>
  <c r="J28" i="6"/>
  <c r="J29" i="6"/>
  <c r="J30" i="6"/>
  <c r="J31" i="6"/>
  <c r="J27" i="6"/>
  <c r="I28" i="6"/>
  <c r="I29" i="6"/>
  <c r="I30" i="6"/>
  <c r="I31" i="6"/>
  <c r="I27" i="6"/>
  <c r="G31" i="6"/>
  <c r="F28" i="6"/>
  <c r="F29" i="6"/>
  <c r="F30" i="6"/>
  <c r="F31" i="6"/>
  <c r="F27" i="6"/>
  <c r="E31" i="6"/>
  <c r="E28" i="6"/>
  <c r="E29" i="6"/>
  <c r="E30" i="6"/>
  <c r="E27" i="6"/>
  <c r="D28" i="6"/>
  <c r="D29" i="6"/>
  <c r="D30" i="6"/>
  <c r="D31" i="6"/>
  <c r="D27" i="6"/>
  <c r="C28" i="6"/>
  <c r="C29" i="6"/>
  <c r="C30" i="6"/>
  <c r="C31" i="6"/>
  <c r="C27" i="6"/>
  <c r="C24" i="6"/>
  <c r="J24" i="6"/>
  <c r="M27" i="6" s="1"/>
  <c r="M16" i="6"/>
  <c r="L17" i="6"/>
  <c r="L18" i="6"/>
  <c r="L19" i="6"/>
  <c r="L20" i="6"/>
  <c r="L16" i="6"/>
  <c r="K17" i="6"/>
  <c r="K18" i="6"/>
  <c r="K19" i="6"/>
  <c r="K20" i="6"/>
  <c r="K16" i="6"/>
  <c r="K5" i="6"/>
  <c r="J17" i="6"/>
  <c r="J18" i="6"/>
  <c r="J19" i="6"/>
  <c r="J20" i="6"/>
  <c r="J16" i="6"/>
  <c r="I17" i="6"/>
  <c r="I18" i="6"/>
  <c r="I19" i="6"/>
  <c r="I20" i="6"/>
  <c r="I16" i="6"/>
  <c r="G20" i="6"/>
  <c r="G17" i="6"/>
  <c r="G18" i="6"/>
  <c r="G19" i="6"/>
  <c r="G16" i="6"/>
  <c r="F17" i="6"/>
  <c r="F18" i="6"/>
  <c r="F19" i="6"/>
  <c r="F20" i="6"/>
  <c r="F16" i="6"/>
  <c r="E17" i="6"/>
  <c r="E18" i="6"/>
  <c r="E19" i="6"/>
  <c r="E20" i="6"/>
  <c r="E16" i="6"/>
  <c r="D17" i="6"/>
  <c r="D18" i="6"/>
  <c r="D19" i="6"/>
  <c r="D20" i="6"/>
  <c r="D16" i="6"/>
  <c r="C17" i="6"/>
  <c r="C18" i="6"/>
  <c r="C19" i="6"/>
  <c r="C20" i="6"/>
  <c r="C16" i="6"/>
  <c r="C13" i="6"/>
  <c r="J13" i="6"/>
  <c r="M18" i="6" s="1"/>
  <c r="L6" i="6"/>
  <c r="L7" i="6"/>
  <c r="L8" i="6"/>
  <c r="L9" i="6"/>
  <c r="L5" i="6"/>
  <c r="K6" i="6"/>
  <c r="K7" i="6"/>
  <c r="K8" i="6"/>
  <c r="K9" i="6"/>
  <c r="J6" i="6"/>
  <c r="J7" i="6"/>
  <c r="J8" i="6"/>
  <c r="J9" i="6"/>
  <c r="J5" i="6"/>
  <c r="I6" i="6"/>
  <c r="I7" i="6"/>
  <c r="I8" i="6"/>
  <c r="I9" i="6"/>
  <c r="I5" i="6"/>
  <c r="F6" i="6"/>
  <c r="F7" i="6"/>
  <c r="F8" i="6"/>
  <c r="F9" i="6"/>
  <c r="F5" i="6"/>
  <c r="E5" i="6"/>
  <c r="E6" i="6"/>
  <c r="E7" i="6"/>
  <c r="E8" i="6"/>
  <c r="E9" i="6"/>
  <c r="D6" i="6"/>
  <c r="D7" i="6"/>
  <c r="D8" i="6"/>
  <c r="D9" i="6"/>
  <c r="D5" i="6"/>
  <c r="C6" i="6"/>
  <c r="C7" i="6"/>
  <c r="C8" i="6"/>
  <c r="C9" i="6"/>
  <c r="C5" i="6"/>
  <c r="J2" i="6"/>
  <c r="M6" i="6" s="1"/>
  <c r="C2" i="6"/>
  <c r="O61" i="1"/>
  <c r="J61" i="1"/>
  <c r="I65" i="1"/>
  <c r="I66" i="1"/>
  <c r="I67" i="1"/>
  <c r="I68" i="1"/>
  <c r="I69" i="1"/>
  <c r="I70" i="1"/>
  <c r="I71" i="1"/>
  <c r="I72" i="1"/>
  <c r="I73" i="1"/>
  <c r="I64" i="1"/>
  <c r="H65" i="1"/>
  <c r="H66" i="1"/>
  <c r="H67" i="1"/>
  <c r="H68" i="1"/>
  <c r="H69" i="1"/>
  <c r="H70" i="1"/>
  <c r="H71" i="1"/>
  <c r="H72" i="1"/>
  <c r="H73" i="1"/>
  <c r="H64" i="1"/>
  <c r="AF50" i="1"/>
  <c r="AF51" i="1"/>
  <c r="AF52" i="1"/>
  <c r="AF54" i="1"/>
  <c r="AF55" i="1"/>
  <c r="AF56" i="1"/>
  <c r="AG55" i="1"/>
  <c r="AG54" i="1"/>
  <c r="AG50" i="1"/>
  <c r="AG51" i="1"/>
  <c r="AG58" i="1"/>
  <c r="AF58" i="1"/>
  <c r="AG53" i="1"/>
  <c r="AF53" i="1"/>
  <c r="AG49" i="1"/>
  <c r="AF49" i="1"/>
  <c r="AB56" i="1"/>
  <c r="AG56" i="1" s="1"/>
  <c r="AB52" i="1"/>
  <c r="AG52" i="1" s="1"/>
  <c r="Z60" i="1"/>
  <c r="Z58" i="1"/>
  <c r="Z59" i="1"/>
  <c r="Z57" i="1"/>
  <c r="O66" i="1"/>
  <c r="O67" i="1"/>
  <c r="O68" i="1"/>
  <c r="Z34" i="1"/>
  <c r="Z35" i="1"/>
  <c r="Z36" i="1"/>
  <c r="Z37" i="1"/>
  <c r="Z38" i="1"/>
  <c r="Z39" i="1"/>
  <c r="Z40" i="1"/>
  <c r="Z41" i="1"/>
  <c r="Z42" i="1"/>
  <c r="Z33" i="1"/>
  <c r="J49" i="1"/>
  <c r="T49" i="1" s="1"/>
  <c r="K49" i="1"/>
  <c r="U49" i="1" s="1"/>
  <c r="L49" i="1"/>
  <c r="V49" i="1" s="1"/>
  <c r="M49" i="1"/>
  <c r="W49" i="1" s="1"/>
  <c r="N49" i="1"/>
  <c r="X49" i="1" s="1"/>
  <c r="J50" i="1"/>
  <c r="K50" i="1"/>
  <c r="U50" i="1" s="1"/>
  <c r="L50" i="1"/>
  <c r="V50" i="1" s="1"/>
  <c r="M50" i="1"/>
  <c r="W50" i="1" s="1"/>
  <c r="N50" i="1"/>
  <c r="X50" i="1" s="1"/>
  <c r="J51" i="1"/>
  <c r="T51" i="1" s="1"/>
  <c r="K51" i="1"/>
  <c r="U51" i="1" s="1"/>
  <c r="L51" i="1"/>
  <c r="V51" i="1" s="1"/>
  <c r="M51" i="1"/>
  <c r="W51" i="1" s="1"/>
  <c r="N51" i="1"/>
  <c r="X51" i="1" s="1"/>
  <c r="J52" i="1"/>
  <c r="T52" i="1" s="1"/>
  <c r="K52" i="1"/>
  <c r="U52" i="1" s="1"/>
  <c r="L52" i="1"/>
  <c r="V52" i="1" s="1"/>
  <c r="M52" i="1"/>
  <c r="W52" i="1" s="1"/>
  <c r="N52" i="1"/>
  <c r="X52" i="1" s="1"/>
  <c r="J53" i="1"/>
  <c r="T53" i="1" s="1"/>
  <c r="K53" i="1"/>
  <c r="U53" i="1" s="1"/>
  <c r="L53" i="1"/>
  <c r="V53" i="1" s="1"/>
  <c r="M53" i="1"/>
  <c r="W53" i="1" s="1"/>
  <c r="N53" i="1"/>
  <c r="X53" i="1" s="1"/>
  <c r="J54" i="1"/>
  <c r="T54" i="1" s="1"/>
  <c r="K54" i="1"/>
  <c r="U54" i="1" s="1"/>
  <c r="L54" i="1"/>
  <c r="V54" i="1" s="1"/>
  <c r="M54" i="1"/>
  <c r="W54" i="1" s="1"/>
  <c r="N54" i="1"/>
  <c r="X54" i="1" s="1"/>
  <c r="J55" i="1"/>
  <c r="T55" i="1" s="1"/>
  <c r="K55" i="1"/>
  <c r="U55" i="1" s="1"/>
  <c r="L55" i="1"/>
  <c r="V55" i="1" s="1"/>
  <c r="M55" i="1"/>
  <c r="W55" i="1" s="1"/>
  <c r="N55" i="1"/>
  <c r="X55" i="1" s="1"/>
  <c r="J56" i="1"/>
  <c r="T56" i="1" s="1"/>
  <c r="K56" i="1"/>
  <c r="U56" i="1" s="1"/>
  <c r="L56" i="1"/>
  <c r="V56" i="1" s="1"/>
  <c r="M56" i="1"/>
  <c r="W56" i="1" s="1"/>
  <c r="N56" i="1"/>
  <c r="X56" i="1" s="1"/>
  <c r="J57" i="1"/>
  <c r="T57" i="1" s="1"/>
  <c r="K57" i="1"/>
  <c r="U57" i="1" s="1"/>
  <c r="L57" i="1"/>
  <c r="V57" i="1" s="1"/>
  <c r="M57" i="1"/>
  <c r="W57" i="1" s="1"/>
  <c r="N57" i="1"/>
  <c r="X57" i="1" s="1"/>
  <c r="J58" i="1"/>
  <c r="K58" i="1"/>
  <c r="U58" i="1" s="1"/>
  <c r="L58" i="1"/>
  <c r="V58" i="1" s="1"/>
  <c r="M58" i="1"/>
  <c r="W58" i="1" s="1"/>
  <c r="N58" i="1"/>
  <c r="X58" i="1" s="1"/>
  <c r="T50" i="1"/>
  <c r="T58" i="1"/>
  <c r="H50" i="1"/>
  <c r="R50" i="1" s="1"/>
  <c r="I50" i="1"/>
  <c r="S50" i="1" s="1"/>
  <c r="H51" i="1"/>
  <c r="R51" i="1" s="1"/>
  <c r="I51" i="1"/>
  <c r="S51" i="1" s="1"/>
  <c r="H52" i="1"/>
  <c r="R52" i="1" s="1"/>
  <c r="I52" i="1"/>
  <c r="S52" i="1" s="1"/>
  <c r="H53" i="1"/>
  <c r="R53" i="1" s="1"/>
  <c r="I53" i="1"/>
  <c r="S53" i="1" s="1"/>
  <c r="H54" i="1"/>
  <c r="R54" i="1" s="1"/>
  <c r="I54" i="1"/>
  <c r="S54" i="1" s="1"/>
  <c r="H55" i="1"/>
  <c r="R55" i="1" s="1"/>
  <c r="I55" i="1"/>
  <c r="S55" i="1" s="1"/>
  <c r="H56" i="1"/>
  <c r="I56" i="1"/>
  <c r="S56" i="1" s="1"/>
  <c r="H57" i="1"/>
  <c r="I57" i="1"/>
  <c r="S57" i="1" s="1"/>
  <c r="H58" i="1"/>
  <c r="R58" i="1" s="1"/>
  <c r="I58" i="1"/>
  <c r="S58" i="1" s="1"/>
  <c r="I49" i="1"/>
  <c r="S49" i="1" s="1"/>
  <c r="H49" i="1"/>
  <c r="G50" i="1"/>
  <c r="G51" i="1"/>
  <c r="Q51" i="1" s="1"/>
  <c r="G52" i="1"/>
  <c r="Q52" i="1" s="1"/>
  <c r="G53" i="1"/>
  <c r="Q53" i="1" s="1"/>
  <c r="G54" i="1"/>
  <c r="Q54" i="1" s="1"/>
  <c r="G55" i="1"/>
  <c r="Q55" i="1" s="1"/>
  <c r="G56" i="1"/>
  <c r="G57" i="1"/>
  <c r="Q57" i="1" s="1"/>
  <c r="G58" i="1"/>
  <c r="Q58" i="1" s="1"/>
  <c r="G49" i="1"/>
  <c r="F50" i="1"/>
  <c r="P50" i="1" s="1"/>
  <c r="F51" i="1"/>
  <c r="P51" i="1" s="1"/>
  <c r="F52" i="1"/>
  <c r="P52" i="1" s="1"/>
  <c r="F53" i="1"/>
  <c r="F54" i="1"/>
  <c r="P54" i="1" s="1"/>
  <c r="F55" i="1"/>
  <c r="F56" i="1"/>
  <c r="P56" i="1" s="1"/>
  <c r="F57" i="1"/>
  <c r="P57" i="1" s="1"/>
  <c r="F58" i="1"/>
  <c r="F49" i="1"/>
  <c r="O51" i="1"/>
  <c r="O53" i="1"/>
  <c r="E58" i="1"/>
  <c r="O58" i="1" s="1"/>
  <c r="E50" i="1"/>
  <c r="O50" i="1" s="1"/>
  <c r="E51" i="1"/>
  <c r="E52" i="1"/>
  <c r="O52" i="1" s="1"/>
  <c r="E53" i="1"/>
  <c r="E54" i="1"/>
  <c r="O54" i="1" s="1"/>
  <c r="E55" i="1"/>
  <c r="O55" i="1" s="1"/>
  <c r="E56" i="1"/>
  <c r="O56" i="1" s="1"/>
  <c r="E57" i="1"/>
  <c r="O57" i="1" s="1"/>
  <c r="E49" i="1"/>
  <c r="O49" i="1" s="1"/>
  <c r="C50" i="1"/>
  <c r="C51" i="1"/>
  <c r="C52" i="1"/>
  <c r="C53" i="1"/>
  <c r="C54" i="1"/>
  <c r="C55" i="1"/>
  <c r="C56" i="1"/>
  <c r="C57" i="1"/>
  <c r="C58" i="1"/>
  <c r="C49" i="1"/>
  <c r="D50" i="1"/>
  <c r="D51" i="1"/>
  <c r="D52" i="1"/>
  <c r="D53" i="1"/>
  <c r="D54" i="1"/>
  <c r="D55" i="1"/>
  <c r="D56" i="1"/>
  <c r="D57" i="1"/>
  <c r="D58" i="1"/>
  <c r="D49" i="1"/>
  <c r="T31" i="1"/>
  <c r="O31" i="1"/>
  <c r="J31" i="1"/>
  <c r="E31" i="1"/>
  <c r="N105" i="7" l="1"/>
  <c r="G101" i="8" s="1"/>
  <c r="N5" i="7"/>
  <c r="M72" i="1"/>
  <c r="R72" i="1" s="1"/>
  <c r="N120" i="7"/>
  <c r="G115" i="8" s="1"/>
  <c r="N102" i="7"/>
  <c r="N103" i="7"/>
  <c r="G99" i="8" s="1"/>
  <c r="N63" i="7"/>
  <c r="G62" i="8" s="1"/>
  <c r="N68" i="7"/>
  <c r="G67" i="8" s="1"/>
  <c r="N17" i="7"/>
  <c r="G20" i="8" s="1"/>
  <c r="N16" i="7"/>
  <c r="G19" i="8" s="1"/>
  <c r="M64" i="1"/>
  <c r="R64" i="1" s="1"/>
  <c r="N27" i="7"/>
  <c r="G29" i="8" s="1"/>
  <c r="N18" i="7"/>
  <c r="G21" i="8" s="1"/>
  <c r="N19" i="7"/>
  <c r="G22" i="8" s="1"/>
  <c r="H67" i="8"/>
  <c r="N107" i="7"/>
  <c r="G103" i="8" s="1"/>
  <c r="N88" i="7"/>
  <c r="N77" i="7"/>
  <c r="G75" i="8" s="1"/>
  <c r="H75" i="8" s="1"/>
  <c r="N79" i="7"/>
  <c r="G77" i="8" s="1"/>
  <c r="N62" i="7"/>
  <c r="G61" i="8" s="1"/>
  <c r="N64" i="7"/>
  <c r="G63" i="8" s="1"/>
  <c r="H65" i="6"/>
  <c r="N114" i="6"/>
  <c r="F109" i="8" s="1"/>
  <c r="N104" i="6"/>
  <c r="F100" i="8" s="1"/>
  <c r="N78" i="6"/>
  <c r="F76" i="8" s="1"/>
  <c r="N54" i="6"/>
  <c r="F54" i="8" s="1"/>
  <c r="H105" i="6"/>
  <c r="E55" i="8"/>
  <c r="H20" i="6"/>
  <c r="O52" i="6"/>
  <c r="P52" i="6" s="1"/>
  <c r="C52" i="8"/>
  <c r="O53" i="6"/>
  <c r="P53" i="6" s="1"/>
  <c r="C53" i="8"/>
  <c r="H27" i="7"/>
  <c r="H101" i="7"/>
  <c r="D97" i="8" s="1"/>
  <c r="H94" i="7"/>
  <c r="D91" i="8" s="1"/>
  <c r="E110" i="8"/>
  <c r="H78" i="6"/>
  <c r="H81" i="6"/>
  <c r="C79" i="8" s="1"/>
  <c r="H68" i="6"/>
  <c r="H107" i="6"/>
  <c r="H80" i="6"/>
  <c r="C78" i="8" s="1"/>
  <c r="H64" i="6"/>
  <c r="C63" i="8" s="1"/>
  <c r="N119" i="7"/>
  <c r="G114" i="8" s="1"/>
  <c r="N106" i="7"/>
  <c r="G102" i="8" s="1"/>
  <c r="N76" i="7"/>
  <c r="G74" i="8" s="1"/>
  <c r="N114" i="7"/>
  <c r="N104" i="7"/>
  <c r="G100" i="8" s="1"/>
  <c r="N52" i="7"/>
  <c r="G52" i="8" s="1"/>
  <c r="H52" i="8" s="1"/>
  <c r="N49" i="7"/>
  <c r="G49" i="8" s="1"/>
  <c r="H49" i="8" s="1"/>
  <c r="N7" i="7"/>
  <c r="G11" i="8" s="1"/>
  <c r="H64" i="7"/>
  <c r="H54" i="7"/>
  <c r="D54" i="8" s="1"/>
  <c r="E54" i="8" s="1"/>
  <c r="H105" i="7"/>
  <c r="H75" i="7"/>
  <c r="D73" i="8" s="1"/>
  <c r="H65" i="7"/>
  <c r="D64" i="8" s="1"/>
  <c r="E64" i="8" s="1"/>
  <c r="H51" i="7"/>
  <c r="D51" i="8" s="1"/>
  <c r="E51" i="8" s="1"/>
  <c r="H31" i="7"/>
  <c r="D33" i="8" s="1"/>
  <c r="H117" i="7"/>
  <c r="D112" i="8" s="1"/>
  <c r="H76" i="7"/>
  <c r="N117" i="7"/>
  <c r="G112" i="8" s="1"/>
  <c r="N92" i="7"/>
  <c r="G89" i="8" s="1"/>
  <c r="N65" i="7"/>
  <c r="G64" i="8" s="1"/>
  <c r="H64" i="8" s="1"/>
  <c r="H116" i="7"/>
  <c r="D111" i="8" s="1"/>
  <c r="H41" i="7"/>
  <c r="D42" i="8" s="1"/>
  <c r="H16" i="7"/>
  <c r="N75" i="7"/>
  <c r="H119" i="7"/>
  <c r="H118" i="7"/>
  <c r="D113" i="8" s="1"/>
  <c r="H106" i="7"/>
  <c r="H18" i="7"/>
  <c r="N115" i="7"/>
  <c r="N116" i="7"/>
  <c r="G111" i="8" s="1"/>
  <c r="O120" i="7"/>
  <c r="P120" i="7" s="1"/>
  <c r="N101" i="7"/>
  <c r="G97" i="8" s="1"/>
  <c r="H107" i="7"/>
  <c r="H104" i="7"/>
  <c r="N89" i="7"/>
  <c r="G86" i="8" s="1"/>
  <c r="H91" i="7"/>
  <c r="D88" i="8" s="1"/>
  <c r="H81" i="7"/>
  <c r="D79" i="8" s="1"/>
  <c r="N66" i="7"/>
  <c r="G65" i="8" s="1"/>
  <c r="H65" i="8" s="1"/>
  <c r="N67" i="7"/>
  <c r="G66" i="8" s="1"/>
  <c r="H66" i="8" s="1"/>
  <c r="H67" i="7"/>
  <c r="D66" i="8" s="1"/>
  <c r="E66" i="8" s="1"/>
  <c r="H62" i="7"/>
  <c r="N55" i="7"/>
  <c r="N29" i="7"/>
  <c r="G31" i="8" s="1"/>
  <c r="H28" i="7"/>
  <c r="D30" i="8" s="1"/>
  <c r="N6" i="7"/>
  <c r="G10" i="8" s="1"/>
  <c r="N39" i="7"/>
  <c r="G40" i="8" s="1"/>
  <c r="H40" i="8" s="1"/>
  <c r="N54" i="7"/>
  <c r="G54" i="8" s="1"/>
  <c r="H89" i="7"/>
  <c r="D86" i="8" s="1"/>
  <c r="O68" i="7"/>
  <c r="P68" i="7" s="1"/>
  <c r="N41" i="7"/>
  <c r="G42" i="8" s="1"/>
  <c r="H42" i="8" s="1"/>
  <c r="H49" i="7"/>
  <c r="D49" i="8" s="1"/>
  <c r="H6" i="7"/>
  <c r="D10" i="8" s="1"/>
  <c r="N9" i="7"/>
  <c r="N91" i="7"/>
  <c r="G88" i="8" s="1"/>
  <c r="C99" i="7"/>
  <c r="C86" i="7"/>
  <c r="C36" i="7"/>
  <c r="C60" i="7"/>
  <c r="C47" i="7"/>
  <c r="H30" i="7"/>
  <c r="D32" i="8" s="1"/>
  <c r="N40" i="7"/>
  <c r="G41" i="8" s="1"/>
  <c r="H40" i="7"/>
  <c r="D41" i="8" s="1"/>
  <c r="I99" i="7"/>
  <c r="I86" i="7"/>
  <c r="I36" i="7"/>
  <c r="I73" i="7"/>
  <c r="I47" i="7"/>
  <c r="I14" i="7"/>
  <c r="H80" i="7"/>
  <c r="D78" i="8" s="1"/>
  <c r="N93" i="7"/>
  <c r="G90" i="8" s="1"/>
  <c r="H19" i="7"/>
  <c r="N28" i="7"/>
  <c r="G30" i="8" s="1"/>
  <c r="H42" i="7"/>
  <c r="D43" i="8" s="1"/>
  <c r="H79" i="7"/>
  <c r="H77" i="7"/>
  <c r="H78" i="7"/>
  <c r="D76" i="8" s="1"/>
  <c r="H8" i="7"/>
  <c r="D12" i="8" s="1"/>
  <c r="N20" i="7"/>
  <c r="G23" i="8" s="1"/>
  <c r="H20" i="7"/>
  <c r="D23" i="8" s="1"/>
  <c r="H17" i="7"/>
  <c r="C25" i="7"/>
  <c r="C73" i="7"/>
  <c r="N118" i="7"/>
  <c r="G113" i="8" s="1"/>
  <c r="N50" i="7"/>
  <c r="G50" i="8" s="1"/>
  <c r="H50" i="8" s="1"/>
  <c r="N53" i="7"/>
  <c r="G53" i="8" s="1"/>
  <c r="H53" i="8" s="1"/>
  <c r="N8" i="7"/>
  <c r="G12" i="8" s="1"/>
  <c r="N80" i="7"/>
  <c r="G78" i="8" s="1"/>
  <c r="H39" i="7"/>
  <c r="D40" i="8" s="1"/>
  <c r="N31" i="7"/>
  <c r="G33" i="8" s="1"/>
  <c r="N81" i="7"/>
  <c r="G79" i="8" s="1"/>
  <c r="N30" i="7"/>
  <c r="G32" i="8" s="1"/>
  <c r="N78" i="7"/>
  <c r="G76" i="8" s="1"/>
  <c r="H90" i="7"/>
  <c r="D87" i="8" s="1"/>
  <c r="N38" i="7"/>
  <c r="H52" i="7"/>
  <c r="D52" i="8" s="1"/>
  <c r="H7" i="7"/>
  <c r="H29" i="7"/>
  <c r="D31" i="8" s="1"/>
  <c r="N90" i="7"/>
  <c r="G87" i="8" s="1"/>
  <c r="N42" i="7"/>
  <c r="G43" i="8" s="1"/>
  <c r="H43" i="8" s="1"/>
  <c r="H66" i="7"/>
  <c r="D65" i="8" s="1"/>
  <c r="H50" i="7"/>
  <c r="D50" i="8" s="1"/>
  <c r="E50" i="8" s="1"/>
  <c r="N51" i="7"/>
  <c r="G51" i="8" s="1"/>
  <c r="H51" i="8" s="1"/>
  <c r="H53" i="7"/>
  <c r="D53" i="8" s="1"/>
  <c r="H63" i="7"/>
  <c r="H93" i="7"/>
  <c r="D90" i="8" s="1"/>
  <c r="N94" i="7"/>
  <c r="G91" i="8" s="1"/>
  <c r="H103" i="7"/>
  <c r="H92" i="7"/>
  <c r="D89" i="8" s="1"/>
  <c r="N117" i="6"/>
  <c r="F112" i="8" s="1"/>
  <c r="N120" i="6"/>
  <c r="F115" i="8" s="1"/>
  <c r="N118" i="6"/>
  <c r="F113" i="8" s="1"/>
  <c r="N119" i="6"/>
  <c r="F114" i="8" s="1"/>
  <c r="N115" i="6"/>
  <c r="N116" i="6"/>
  <c r="F111" i="8" s="1"/>
  <c r="H114" i="6"/>
  <c r="H120" i="6"/>
  <c r="H119" i="6"/>
  <c r="C114" i="8" s="1"/>
  <c r="H117" i="6"/>
  <c r="H116" i="6"/>
  <c r="C111" i="8" s="1"/>
  <c r="H118" i="6"/>
  <c r="C113" i="8" s="1"/>
  <c r="N105" i="6"/>
  <c r="F101" i="8" s="1"/>
  <c r="N106" i="6"/>
  <c r="F102" i="8" s="1"/>
  <c r="N107" i="6"/>
  <c r="F103" i="8" s="1"/>
  <c r="N102" i="6"/>
  <c r="F98" i="8" s="1"/>
  <c r="N101" i="6"/>
  <c r="F97" i="8" s="1"/>
  <c r="N103" i="6"/>
  <c r="F99" i="8" s="1"/>
  <c r="H101" i="6"/>
  <c r="H106" i="6"/>
  <c r="H104" i="6"/>
  <c r="H103" i="6"/>
  <c r="H102" i="6"/>
  <c r="C98" i="8" s="1"/>
  <c r="E98" i="8" s="1"/>
  <c r="M94" i="6"/>
  <c r="N94" i="6" s="1"/>
  <c r="F91" i="8" s="1"/>
  <c r="M93" i="6"/>
  <c r="M92" i="6"/>
  <c r="M91" i="6"/>
  <c r="M88" i="6"/>
  <c r="M90" i="6"/>
  <c r="M89" i="6"/>
  <c r="G88" i="6"/>
  <c r="H88" i="6" s="1"/>
  <c r="C85" i="8" s="1"/>
  <c r="E85" i="8" s="1"/>
  <c r="G94" i="6"/>
  <c r="H94" i="6" s="1"/>
  <c r="G93" i="6"/>
  <c r="G92" i="6"/>
  <c r="H92" i="6" s="1"/>
  <c r="C89" i="8" s="1"/>
  <c r="G91" i="6"/>
  <c r="H91" i="6" s="1"/>
  <c r="C88" i="8" s="1"/>
  <c r="G90" i="6"/>
  <c r="H90" i="6" s="1"/>
  <c r="C87" i="8" s="1"/>
  <c r="N92" i="6"/>
  <c r="F89" i="8" s="1"/>
  <c r="N89" i="6"/>
  <c r="F86" i="8" s="1"/>
  <c r="N88" i="6"/>
  <c r="F85" i="8" s="1"/>
  <c r="N91" i="6"/>
  <c r="F88" i="8" s="1"/>
  <c r="N93" i="6"/>
  <c r="F90" i="8" s="1"/>
  <c r="N90" i="6"/>
  <c r="F87" i="8" s="1"/>
  <c r="H93" i="6"/>
  <c r="C90" i="8" s="1"/>
  <c r="H89" i="6"/>
  <c r="C86" i="8" s="1"/>
  <c r="N75" i="6"/>
  <c r="F73" i="8" s="1"/>
  <c r="N79" i="6"/>
  <c r="N76" i="6"/>
  <c r="F74" i="8" s="1"/>
  <c r="N80" i="6"/>
  <c r="F78" i="8" s="1"/>
  <c r="N81" i="6"/>
  <c r="F79" i="8" s="1"/>
  <c r="H75" i="6"/>
  <c r="C73" i="8" s="1"/>
  <c r="H77" i="6"/>
  <c r="H76" i="6"/>
  <c r="C74" i="8" s="1"/>
  <c r="O75" i="6"/>
  <c r="P75" i="6" s="1"/>
  <c r="N62" i="6"/>
  <c r="F61" i="8" s="1"/>
  <c r="N63" i="6"/>
  <c r="F62" i="8" s="1"/>
  <c r="N64" i="6"/>
  <c r="F63" i="8" s="1"/>
  <c r="H63" i="6"/>
  <c r="C62" i="8" s="1"/>
  <c r="H66" i="6"/>
  <c r="H62" i="6"/>
  <c r="O67" i="6"/>
  <c r="P67" i="6" s="1"/>
  <c r="M20" i="6"/>
  <c r="M19" i="6"/>
  <c r="N20" i="6"/>
  <c r="F23" i="8" s="1"/>
  <c r="G27" i="6"/>
  <c r="H31" i="6"/>
  <c r="C33" i="8" s="1"/>
  <c r="M7" i="6"/>
  <c r="G30" i="6"/>
  <c r="H30" i="6" s="1"/>
  <c r="C32" i="8" s="1"/>
  <c r="E32" i="8" s="1"/>
  <c r="N42" i="6"/>
  <c r="F43" i="8" s="1"/>
  <c r="M29" i="6"/>
  <c r="N29" i="6" s="1"/>
  <c r="F31" i="8" s="1"/>
  <c r="G8" i="6"/>
  <c r="H8" i="6" s="1"/>
  <c r="C12" i="8" s="1"/>
  <c r="E12" i="8" s="1"/>
  <c r="M5" i="6"/>
  <c r="N5" i="6" s="1"/>
  <c r="F9" i="8" s="1"/>
  <c r="M17" i="6"/>
  <c r="N17" i="6" s="1"/>
  <c r="F20" i="8" s="1"/>
  <c r="H39" i="6"/>
  <c r="C40" i="8" s="1"/>
  <c r="M31" i="6"/>
  <c r="N31" i="6" s="1"/>
  <c r="F33" i="8" s="1"/>
  <c r="G5" i="6"/>
  <c r="H5" i="6" s="1"/>
  <c r="C9" i="8" s="1"/>
  <c r="E9" i="8" s="1"/>
  <c r="M30" i="6"/>
  <c r="N30" i="6" s="1"/>
  <c r="F32" i="8" s="1"/>
  <c r="G9" i="6"/>
  <c r="H9" i="6" s="1"/>
  <c r="C13" i="8" s="1"/>
  <c r="E13" i="8" s="1"/>
  <c r="M28" i="6"/>
  <c r="N28" i="6" s="1"/>
  <c r="F30" i="8" s="1"/>
  <c r="G7" i="6"/>
  <c r="H7" i="6" s="1"/>
  <c r="C11" i="8" s="1"/>
  <c r="M9" i="6"/>
  <c r="G29" i="6"/>
  <c r="G28" i="6"/>
  <c r="H19" i="6"/>
  <c r="C22" i="8" s="1"/>
  <c r="H49" i="6"/>
  <c r="C49" i="8" s="1"/>
  <c r="G6" i="6"/>
  <c r="H6" i="6" s="1"/>
  <c r="C10" i="8" s="1"/>
  <c r="E10" i="8" s="1"/>
  <c r="M8" i="6"/>
  <c r="G38" i="6"/>
  <c r="H38" i="6" s="1"/>
  <c r="C39" i="8" s="1"/>
  <c r="E39" i="8" s="1"/>
  <c r="G42" i="6"/>
  <c r="H42" i="6" s="1"/>
  <c r="C43" i="8" s="1"/>
  <c r="G41" i="6"/>
  <c r="H41" i="6" s="1"/>
  <c r="C42" i="8" s="1"/>
  <c r="G40" i="6"/>
  <c r="H40" i="6" s="1"/>
  <c r="C41" i="8" s="1"/>
  <c r="N49" i="6"/>
  <c r="F49" i="8" s="1"/>
  <c r="N41" i="6"/>
  <c r="F42" i="8" s="1"/>
  <c r="N39" i="6"/>
  <c r="F40" i="8" s="1"/>
  <c r="N40" i="6"/>
  <c r="F41" i="8" s="1"/>
  <c r="N38" i="6"/>
  <c r="F39" i="8" s="1"/>
  <c r="N27" i="6"/>
  <c r="F29" i="8" s="1"/>
  <c r="H27" i="6"/>
  <c r="C29" i="8" s="1"/>
  <c r="H28" i="6"/>
  <c r="C30" i="8" s="1"/>
  <c r="E30" i="8" s="1"/>
  <c r="H29" i="6"/>
  <c r="C31" i="8" s="1"/>
  <c r="E31" i="8" s="1"/>
  <c r="N19" i="6"/>
  <c r="F22" i="8" s="1"/>
  <c r="N18" i="6"/>
  <c r="F21" i="8" s="1"/>
  <c r="N16" i="6"/>
  <c r="F19" i="8" s="1"/>
  <c r="H17" i="6"/>
  <c r="C20" i="8" s="1"/>
  <c r="H18" i="6"/>
  <c r="C21" i="8" s="1"/>
  <c r="H16" i="6"/>
  <c r="C19" i="8" s="1"/>
  <c r="AG59" i="1"/>
  <c r="AB59" i="1" s="1"/>
  <c r="AF60" i="1"/>
  <c r="AB58" i="1" s="1"/>
  <c r="AG60" i="1"/>
  <c r="L71" i="1"/>
  <c r="Q71" i="1" s="1"/>
  <c r="J65" i="1"/>
  <c r="O65" i="1" s="1"/>
  <c r="M71" i="1"/>
  <c r="R71" i="1" s="1"/>
  <c r="AF59" i="1"/>
  <c r="AB57" i="1" s="1"/>
  <c r="J71" i="1"/>
  <c r="O71" i="1" s="1"/>
  <c r="K68" i="1"/>
  <c r="P68" i="1" s="1"/>
  <c r="P53" i="1"/>
  <c r="L65" i="1"/>
  <c r="Q65" i="1" s="1"/>
  <c r="R57" i="1"/>
  <c r="R56" i="1"/>
  <c r="R49" i="1"/>
  <c r="L72" i="1"/>
  <c r="Q72" i="1" s="1"/>
  <c r="M65" i="1"/>
  <c r="R65" i="1" s="1"/>
  <c r="J68" i="1"/>
  <c r="J69" i="1"/>
  <c r="O69" i="1" s="1"/>
  <c r="K71" i="1"/>
  <c r="P71" i="1" s="1"/>
  <c r="J67" i="1"/>
  <c r="L70" i="1"/>
  <c r="Q70" i="1" s="1"/>
  <c r="L69" i="1"/>
  <c r="Q69" i="1" s="1"/>
  <c r="M69" i="1"/>
  <c r="R69" i="1" s="1"/>
  <c r="N70" i="1"/>
  <c r="S70" i="1" s="1"/>
  <c r="J66" i="1"/>
  <c r="N73" i="1"/>
  <c r="S73" i="1" s="1"/>
  <c r="N71" i="1"/>
  <c r="S71" i="1" s="1"/>
  <c r="M73" i="1"/>
  <c r="R73" i="1" s="1"/>
  <c r="N69" i="1"/>
  <c r="S69" i="1" s="1"/>
  <c r="K70" i="1"/>
  <c r="P70" i="1" s="1"/>
  <c r="N72" i="1"/>
  <c r="S72" i="1" s="1"/>
  <c r="M70" i="1"/>
  <c r="R70" i="1" s="1"/>
  <c r="L66" i="1"/>
  <c r="Q66" i="1" s="1"/>
  <c r="J73" i="1"/>
  <c r="O73" i="1" s="1"/>
  <c r="N64" i="1"/>
  <c r="S64" i="1" s="1"/>
  <c r="N68" i="1"/>
  <c r="S68" i="1" s="1"/>
  <c r="M68" i="1"/>
  <c r="R68" i="1" s="1"/>
  <c r="L68" i="1"/>
  <c r="Q68" i="1" s="1"/>
  <c r="K64" i="1"/>
  <c r="P64" i="1" s="1"/>
  <c r="K73" i="1"/>
  <c r="P73" i="1" s="1"/>
  <c r="K69" i="1"/>
  <c r="P69" i="1" s="1"/>
  <c r="K67" i="1"/>
  <c r="P67" i="1" s="1"/>
  <c r="M67" i="1"/>
  <c r="R67" i="1" s="1"/>
  <c r="J72" i="1"/>
  <c r="O72" i="1" s="1"/>
  <c r="M66" i="1"/>
  <c r="R66" i="1" s="1"/>
  <c r="K72" i="1"/>
  <c r="P72" i="1" s="1"/>
  <c r="N66" i="1"/>
  <c r="S66" i="1" s="1"/>
  <c r="L64" i="1"/>
  <c r="Q64" i="1" s="1"/>
  <c r="N67" i="1"/>
  <c r="S67" i="1" s="1"/>
  <c r="K66" i="1"/>
  <c r="P66" i="1" s="1"/>
  <c r="K65" i="1"/>
  <c r="P65" i="1" s="1"/>
  <c r="L67" i="1"/>
  <c r="Q67" i="1" s="1"/>
  <c r="L73" i="1"/>
  <c r="Q73" i="1" s="1"/>
  <c r="J70" i="1"/>
  <c r="O70" i="1" s="1"/>
  <c r="N65" i="1"/>
  <c r="S65" i="1" s="1"/>
  <c r="J64" i="1"/>
  <c r="O64" i="1" s="1"/>
  <c r="Q56" i="1"/>
  <c r="Q50" i="1"/>
  <c r="Q49" i="1"/>
  <c r="P58" i="1"/>
  <c r="P55" i="1"/>
  <c r="P49" i="1"/>
  <c r="H100" i="8" l="1"/>
  <c r="H76" i="8"/>
  <c r="H41" i="8"/>
  <c r="H31" i="8"/>
  <c r="I31" i="8" s="1"/>
  <c r="J31" i="8" s="1"/>
  <c r="H32" i="8"/>
  <c r="I32" i="8" s="1"/>
  <c r="J32" i="8" s="1"/>
  <c r="H30" i="8"/>
  <c r="I30" i="8" s="1"/>
  <c r="J30" i="8" s="1"/>
  <c r="H33" i="8"/>
  <c r="H23" i="8"/>
  <c r="H54" i="8"/>
  <c r="I54" i="8" s="1"/>
  <c r="J54" i="8" s="1"/>
  <c r="H101" i="8"/>
  <c r="G98" i="8"/>
  <c r="O102" i="7"/>
  <c r="P102" i="7" s="1"/>
  <c r="H62" i="8"/>
  <c r="G9" i="8"/>
  <c r="H9" i="8" s="1"/>
  <c r="I9" i="8" s="1"/>
  <c r="J9" i="8" s="1"/>
  <c r="O5" i="7"/>
  <c r="P5" i="7" s="1"/>
  <c r="H115" i="8"/>
  <c r="H98" i="8"/>
  <c r="I98" i="8" s="1"/>
  <c r="J98" i="8" s="1"/>
  <c r="H99" i="8"/>
  <c r="H29" i="8"/>
  <c r="H20" i="8"/>
  <c r="H22" i="8"/>
  <c r="H21" i="8"/>
  <c r="H19" i="8"/>
  <c r="G109" i="8"/>
  <c r="H109" i="8" s="1"/>
  <c r="O114" i="7"/>
  <c r="P114" i="7" s="1"/>
  <c r="O55" i="7"/>
  <c r="P55" i="7" s="1"/>
  <c r="G55" i="8"/>
  <c r="H55" i="8" s="1"/>
  <c r="I55" i="8" s="1"/>
  <c r="J55" i="8" s="1"/>
  <c r="O38" i="7"/>
  <c r="P38" i="7" s="1"/>
  <c r="G39" i="8"/>
  <c r="H39" i="8" s="1"/>
  <c r="I39" i="8" s="1"/>
  <c r="J39" i="8" s="1"/>
  <c r="O9" i="7"/>
  <c r="P9" i="7" s="1"/>
  <c r="G13" i="8"/>
  <c r="H103" i="8"/>
  <c r="G85" i="8"/>
  <c r="H85" i="8" s="1"/>
  <c r="I85" i="8" s="1"/>
  <c r="J85" i="8" s="1"/>
  <c r="O88" i="7"/>
  <c r="P88" i="7" s="1"/>
  <c r="H61" i="8"/>
  <c r="H63" i="8"/>
  <c r="H114" i="8"/>
  <c r="H102" i="8"/>
  <c r="H74" i="8"/>
  <c r="H112" i="8"/>
  <c r="H89" i="8"/>
  <c r="H111" i="8"/>
  <c r="H97" i="8"/>
  <c r="H86" i="8"/>
  <c r="H88" i="8"/>
  <c r="H90" i="8"/>
  <c r="H113" i="8"/>
  <c r="H78" i="8"/>
  <c r="H79" i="8"/>
  <c r="H87" i="8"/>
  <c r="H91" i="8"/>
  <c r="I66" i="8"/>
  <c r="J66" i="8" s="1"/>
  <c r="I64" i="8"/>
  <c r="J64" i="8" s="1"/>
  <c r="O75" i="7"/>
  <c r="P75" i="7" s="1"/>
  <c r="G73" i="8"/>
  <c r="H73" i="8" s="1"/>
  <c r="O115" i="7"/>
  <c r="P115" i="7" s="1"/>
  <c r="G110" i="8"/>
  <c r="C64" i="8"/>
  <c r="O65" i="6"/>
  <c r="P65" i="6" s="1"/>
  <c r="O115" i="6"/>
  <c r="P115" i="6" s="1"/>
  <c r="F110" i="8"/>
  <c r="O79" i="6"/>
  <c r="P79" i="6" s="1"/>
  <c r="F77" i="8"/>
  <c r="H77" i="8" s="1"/>
  <c r="O117" i="7"/>
  <c r="P117" i="7" s="1"/>
  <c r="O54" i="7"/>
  <c r="P54" i="7" s="1"/>
  <c r="D63" i="8"/>
  <c r="E63" i="8" s="1"/>
  <c r="O64" i="7"/>
  <c r="P64" i="7" s="1"/>
  <c r="E49" i="8"/>
  <c r="I49" i="8" s="1"/>
  <c r="J49" i="8" s="1"/>
  <c r="E40" i="8"/>
  <c r="I40" i="8" s="1"/>
  <c r="J40" i="8" s="1"/>
  <c r="E43" i="8"/>
  <c r="I43" i="8" s="1"/>
  <c r="J43" i="8" s="1"/>
  <c r="E42" i="8"/>
  <c r="I42" i="8" s="1"/>
  <c r="J42" i="8" s="1"/>
  <c r="E41" i="8"/>
  <c r="C101" i="8"/>
  <c r="O105" i="6"/>
  <c r="P105" i="6" s="1"/>
  <c r="C109" i="8"/>
  <c r="E109" i="8" s="1"/>
  <c r="O114" i="6"/>
  <c r="P114" i="6" s="1"/>
  <c r="O19" i="6"/>
  <c r="P19" i="6" s="1"/>
  <c r="E33" i="8"/>
  <c r="D29" i="8"/>
  <c r="E29" i="8" s="1"/>
  <c r="O27" i="7"/>
  <c r="P27" i="7" s="1"/>
  <c r="C23" i="8"/>
  <c r="E23" i="8" s="1"/>
  <c r="I23" i="8" s="1"/>
  <c r="J23" i="8" s="1"/>
  <c r="O20" i="6"/>
  <c r="P20" i="6" s="1"/>
  <c r="E111" i="8"/>
  <c r="E113" i="8"/>
  <c r="E88" i="8"/>
  <c r="E73" i="8"/>
  <c r="E79" i="8"/>
  <c r="E86" i="8"/>
  <c r="E78" i="8"/>
  <c r="E87" i="8"/>
  <c r="E52" i="8"/>
  <c r="I52" i="8" s="1"/>
  <c r="J52" i="8" s="1"/>
  <c r="E53" i="8"/>
  <c r="I53" i="8" s="1"/>
  <c r="J53" i="8" s="1"/>
  <c r="E90" i="8"/>
  <c r="E89" i="8"/>
  <c r="O16" i="6"/>
  <c r="P16" i="6" s="1"/>
  <c r="O16" i="7"/>
  <c r="P16" i="7" s="1"/>
  <c r="D19" i="8"/>
  <c r="E19" i="8" s="1"/>
  <c r="O18" i="7"/>
  <c r="P18" i="7" s="1"/>
  <c r="D21" i="8"/>
  <c r="E21" i="8" s="1"/>
  <c r="O19" i="7"/>
  <c r="P19" i="7" s="1"/>
  <c r="D22" i="8"/>
  <c r="E22" i="8" s="1"/>
  <c r="O17" i="7"/>
  <c r="P17" i="7" s="1"/>
  <c r="D20" i="8"/>
  <c r="E20" i="8" s="1"/>
  <c r="O7" i="7"/>
  <c r="P7" i="7" s="1"/>
  <c r="D11" i="8"/>
  <c r="E11" i="8" s="1"/>
  <c r="O101" i="7"/>
  <c r="P101" i="7" s="1"/>
  <c r="O94" i="7"/>
  <c r="P94" i="7" s="1"/>
  <c r="O105" i="7"/>
  <c r="P105" i="7" s="1"/>
  <c r="D101" i="8"/>
  <c r="O76" i="7"/>
  <c r="P76" i="7" s="1"/>
  <c r="D74" i="8"/>
  <c r="E74" i="8" s="1"/>
  <c r="O119" i="7"/>
  <c r="P119" i="7" s="1"/>
  <c r="D114" i="8"/>
  <c r="E114" i="8" s="1"/>
  <c r="O106" i="7"/>
  <c r="P106" i="7" s="1"/>
  <c r="D102" i="8"/>
  <c r="O107" i="7"/>
  <c r="P107" i="7" s="1"/>
  <c r="D103" i="8"/>
  <c r="O104" i="7"/>
  <c r="P104" i="7" s="1"/>
  <c r="D100" i="8"/>
  <c r="O62" i="7"/>
  <c r="P62" i="7" s="1"/>
  <c r="D61" i="8"/>
  <c r="O79" i="7"/>
  <c r="P79" i="7" s="1"/>
  <c r="D77" i="8"/>
  <c r="E77" i="8" s="1"/>
  <c r="O77" i="7"/>
  <c r="P77" i="7" s="1"/>
  <c r="D75" i="8"/>
  <c r="O63" i="7"/>
  <c r="P63" i="7" s="1"/>
  <c r="D62" i="8"/>
  <c r="E62" i="8" s="1"/>
  <c r="O103" i="7"/>
  <c r="P103" i="7" s="1"/>
  <c r="D99" i="8"/>
  <c r="O80" i="6"/>
  <c r="P80" i="6" s="1"/>
  <c r="O81" i="6"/>
  <c r="P81" i="6" s="1"/>
  <c r="O64" i="6"/>
  <c r="P64" i="6" s="1"/>
  <c r="C76" i="8"/>
  <c r="E76" i="8" s="1"/>
  <c r="O78" i="6"/>
  <c r="P78" i="6" s="1"/>
  <c r="C67" i="8"/>
  <c r="E67" i="8" s="1"/>
  <c r="I67" i="8" s="1"/>
  <c r="J67" i="8" s="1"/>
  <c r="O68" i="6"/>
  <c r="P68" i="6" s="1"/>
  <c r="C103" i="8"/>
  <c r="O107" i="6"/>
  <c r="P107" i="6" s="1"/>
  <c r="O120" i="6"/>
  <c r="P120" i="6" s="1"/>
  <c r="C115" i="8"/>
  <c r="E115" i="8" s="1"/>
  <c r="O117" i="6"/>
  <c r="P117" i="6" s="1"/>
  <c r="C112" i="8"/>
  <c r="E112" i="8" s="1"/>
  <c r="O101" i="6"/>
  <c r="P101" i="6" s="1"/>
  <c r="C97" i="8"/>
  <c r="E97" i="8" s="1"/>
  <c r="O106" i="6"/>
  <c r="P106" i="6" s="1"/>
  <c r="C102" i="8"/>
  <c r="O104" i="6"/>
  <c r="P104" i="6" s="1"/>
  <c r="C100" i="8"/>
  <c r="O103" i="6"/>
  <c r="P103" i="6" s="1"/>
  <c r="C99" i="8"/>
  <c r="O94" i="6"/>
  <c r="P94" i="6" s="1"/>
  <c r="C91" i="8"/>
  <c r="E91" i="8" s="1"/>
  <c r="O77" i="6"/>
  <c r="P77" i="6" s="1"/>
  <c r="C75" i="8"/>
  <c r="O66" i="6"/>
  <c r="P66" i="6" s="1"/>
  <c r="C65" i="8"/>
  <c r="E65" i="8" s="1"/>
  <c r="I65" i="8" s="1"/>
  <c r="J65" i="8" s="1"/>
  <c r="O62" i="6"/>
  <c r="P62" i="6" s="1"/>
  <c r="C61" i="8"/>
  <c r="I51" i="8"/>
  <c r="J51" i="8" s="1"/>
  <c r="I50" i="8"/>
  <c r="J50" i="8" s="1"/>
  <c r="O52" i="7"/>
  <c r="P52" i="7" s="1"/>
  <c r="O89" i="7"/>
  <c r="P89" i="7" s="1"/>
  <c r="O49" i="7"/>
  <c r="P49" i="7" s="1"/>
  <c r="O65" i="7"/>
  <c r="P65" i="7" s="1"/>
  <c r="O51" i="7"/>
  <c r="P51" i="7" s="1"/>
  <c r="O31" i="7"/>
  <c r="P31" i="7" s="1"/>
  <c r="O41" i="7"/>
  <c r="P41" i="7" s="1"/>
  <c r="O30" i="7"/>
  <c r="P30" i="7" s="1"/>
  <c r="O20" i="7"/>
  <c r="P20" i="7" s="1"/>
  <c r="O92" i="7"/>
  <c r="P92" i="7" s="1"/>
  <c r="O116" i="7"/>
  <c r="P116" i="7" s="1"/>
  <c r="O66" i="7"/>
  <c r="P66" i="7" s="1"/>
  <c r="O67" i="7"/>
  <c r="P67" i="7" s="1"/>
  <c r="O6" i="7"/>
  <c r="P6" i="7" s="1"/>
  <c r="O118" i="7"/>
  <c r="P118" i="7" s="1"/>
  <c r="O91" i="7"/>
  <c r="P91" i="7" s="1"/>
  <c r="O81" i="7"/>
  <c r="P81" i="7" s="1"/>
  <c r="O42" i="7"/>
  <c r="P42" i="7" s="1"/>
  <c r="O39" i="7"/>
  <c r="P39" i="7" s="1"/>
  <c r="O29" i="7"/>
  <c r="P29" i="7" s="1"/>
  <c r="O28" i="7"/>
  <c r="P28" i="7" s="1"/>
  <c r="O40" i="7"/>
  <c r="P40" i="7" s="1"/>
  <c r="O80" i="7"/>
  <c r="P80" i="7" s="1"/>
  <c r="O8" i="7"/>
  <c r="P8" i="7" s="1"/>
  <c r="O93" i="7"/>
  <c r="P93" i="7" s="1"/>
  <c r="O78" i="7"/>
  <c r="P78" i="7" s="1"/>
  <c r="O90" i="7"/>
  <c r="P90" i="7" s="1"/>
  <c r="O53" i="7"/>
  <c r="P53" i="7" s="1"/>
  <c r="O50" i="7"/>
  <c r="P50" i="7" s="1"/>
  <c r="O118" i="6"/>
  <c r="P118" i="6" s="1"/>
  <c r="O119" i="6"/>
  <c r="P119" i="6" s="1"/>
  <c r="O116" i="6"/>
  <c r="P116" i="6" s="1"/>
  <c r="O102" i="6"/>
  <c r="P102" i="6" s="1"/>
  <c r="O88" i="6"/>
  <c r="P88" i="6" s="1"/>
  <c r="O93" i="6"/>
  <c r="P93" i="6" s="1"/>
  <c r="O91" i="6"/>
  <c r="P91" i="6" s="1"/>
  <c r="O92" i="6"/>
  <c r="P92" i="6" s="1"/>
  <c r="O89" i="6"/>
  <c r="P89" i="6" s="1"/>
  <c r="O90" i="6"/>
  <c r="P90" i="6" s="1"/>
  <c r="O76" i="6"/>
  <c r="P76" i="6" s="1"/>
  <c r="O63" i="6"/>
  <c r="P63" i="6" s="1"/>
  <c r="O49" i="6"/>
  <c r="P49" i="6" s="1"/>
  <c r="O50" i="6"/>
  <c r="P50" i="6" s="1"/>
  <c r="O54" i="6"/>
  <c r="P54" i="6" s="1"/>
  <c r="O51" i="6"/>
  <c r="P51" i="6" s="1"/>
  <c r="O30" i="6"/>
  <c r="P30" i="6" s="1"/>
  <c r="O31" i="6"/>
  <c r="P31" i="6" s="1"/>
  <c r="O29" i="6"/>
  <c r="P29" i="6" s="1"/>
  <c r="O41" i="6"/>
  <c r="P41" i="6" s="1"/>
  <c r="O17" i="6"/>
  <c r="P17" i="6" s="1"/>
  <c r="O42" i="6"/>
  <c r="P42" i="6" s="1"/>
  <c r="O40" i="6"/>
  <c r="P40" i="6" s="1"/>
  <c r="O55" i="6"/>
  <c r="P55" i="6" s="1"/>
  <c r="O39" i="6"/>
  <c r="P39" i="6" s="1"/>
  <c r="O38" i="6"/>
  <c r="P38" i="6" s="1"/>
  <c r="O28" i="6"/>
  <c r="P28" i="6" s="1"/>
  <c r="O27" i="6"/>
  <c r="P27" i="6" s="1"/>
  <c r="O18" i="6"/>
  <c r="P18" i="6" s="1"/>
  <c r="O5" i="6"/>
  <c r="P5" i="6" s="1"/>
  <c r="N9" i="6"/>
  <c r="N6" i="6"/>
  <c r="N8" i="6"/>
  <c r="N7" i="6"/>
  <c r="AB60" i="1"/>
  <c r="AB61" i="1" s="1"/>
  <c r="AB62" i="1" s="1"/>
  <c r="I76" i="8" l="1"/>
  <c r="J76" i="8" s="1"/>
  <c r="I41" i="8"/>
  <c r="J41" i="8" s="1"/>
  <c r="I33" i="8"/>
  <c r="J33" i="8" s="1"/>
  <c r="I62" i="8"/>
  <c r="J62" i="8" s="1"/>
  <c r="I22" i="8"/>
  <c r="J22" i="8" s="1"/>
  <c r="I19" i="8"/>
  <c r="J19" i="8" s="1"/>
  <c r="I21" i="8"/>
  <c r="J21" i="8" s="1"/>
  <c r="I20" i="8"/>
  <c r="J20" i="8" s="1"/>
  <c r="I115" i="8"/>
  <c r="J115" i="8" s="1"/>
  <c r="I29" i="8"/>
  <c r="J29" i="8" s="1"/>
  <c r="I109" i="8"/>
  <c r="J109" i="8" s="1"/>
  <c r="H110" i="8"/>
  <c r="I110" i="8" s="1"/>
  <c r="J110" i="8" s="1"/>
  <c r="I111" i="8"/>
  <c r="J111" i="8" s="1"/>
  <c r="I113" i="8"/>
  <c r="J113" i="8" s="1"/>
  <c r="I88" i="8"/>
  <c r="J88" i="8" s="1"/>
  <c r="I86" i="8"/>
  <c r="J86" i="8" s="1"/>
  <c r="I87" i="8"/>
  <c r="J87" i="8" s="1"/>
  <c r="I78" i="8"/>
  <c r="J78" i="8" s="1"/>
  <c r="I79" i="8"/>
  <c r="J79" i="8" s="1"/>
  <c r="I63" i="8"/>
  <c r="J63" i="8" s="1"/>
  <c r="I90" i="8"/>
  <c r="J90" i="8" s="1"/>
  <c r="I89" i="8"/>
  <c r="J89" i="8" s="1"/>
  <c r="I74" i="8"/>
  <c r="J74" i="8" s="1"/>
  <c r="I114" i="8"/>
  <c r="J114" i="8" s="1"/>
  <c r="I112" i="8"/>
  <c r="J112" i="8" s="1"/>
  <c r="I97" i="8"/>
  <c r="J97" i="8" s="1"/>
  <c r="I91" i="8"/>
  <c r="J91" i="8" s="1"/>
  <c r="I73" i="8"/>
  <c r="J73" i="8" s="1"/>
  <c r="I77" i="8"/>
  <c r="J77" i="8" s="1"/>
  <c r="O9" i="6"/>
  <c r="P9" i="6" s="1"/>
  <c r="F13" i="8"/>
  <c r="H13" i="8" s="1"/>
  <c r="I13" i="8" s="1"/>
  <c r="J13" i="8" s="1"/>
  <c r="O6" i="6"/>
  <c r="P6" i="6" s="1"/>
  <c r="F10" i="8"/>
  <c r="H10" i="8" s="1"/>
  <c r="I10" i="8" s="1"/>
  <c r="J10" i="8" s="1"/>
  <c r="O8" i="6"/>
  <c r="P8" i="6" s="1"/>
  <c r="F12" i="8"/>
  <c r="H12" i="8" s="1"/>
  <c r="I12" i="8" s="1"/>
  <c r="J12" i="8" s="1"/>
  <c r="O7" i="6"/>
  <c r="P7" i="6" s="1"/>
  <c r="F11" i="8"/>
  <c r="H11" i="8" s="1"/>
  <c r="I11" i="8" s="1"/>
  <c r="J11" i="8" s="1"/>
  <c r="E101" i="8"/>
  <c r="I101" i="8" s="1"/>
  <c r="J101" i="8" s="1"/>
  <c r="E100" i="8"/>
  <c r="I100" i="8" s="1"/>
  <c r="J100" i="8" s="1"/>
  <c r="E75" i="8"/>
  <c r="I75" i="8" s="1"/>
  <c r="J75" i="8" s="1"/>
  <c r="E61" i="8"/>
  <c r="I61" i="8" s="1"/>
  <c r="J61" i="8" s="1"/>
  <c r="E103" i="8"/>
  <c r="I103" i="8" s="1"/>
  <c r="J103" i="8" s="1"/>
  <c r="E99" i="8"/>
  <c r="I99" i="8" s="1"/>
  <c r="J99" i="8" s="1"/>
  <c r="E102" i="8"/>
  <c r="I102" i="8" s="1"/>
  <c r="J102" i="8" s="1"/>
  <c r="O14" i="1"/>
  <c r="M26" i="1"/>
  <c r="P26" i="1" s="1"/>
  <c r="I66" i="4"/>
  <c r="I67" i="4"/>
  <c r="I68" i="4"/>
  <c r="I69" i="4"/>
  <c r="I70" i="4"/>
  <c r="I65" i="4"/>
  <c r="I64" i="4"/>
  <c r="H66" i="4"/>
  <c r="H67" i="4"/>
  <c r="H68" i="4"/>
  <c r="H69" i="4"/>
  <c r="H70" i="4"/>
  <c r="H65" i="4"/>
  <c r="H64" i="4"/>
  <c r="G66" i="4"/>
  <c r="G67" i="4"/>
  <c r="G68" i="4"/>
  <c r="G69" i="4"/>
  <c r="G70" i="4"/>
  <c r="G65" i="4"/>
  <c r="G64" i="4"/>
  <c r="E66" i="4"/>
  <c r="E67" i="4"/>
  <c r="E68" i="4"/>
  <c r="E69" i="4"/>
  <c r="E70" i="4"/>
  <c r="E65" i="4"/>
  <c r="E64" i="4"/>
  <c r="D66" i="4"/>
  <c r="D67" i="4"/>
  <c r="D68" i="4"/>
  <c r="D69" i="4"/>
  <c r="D70" i="4"/>
  <c r="D65" i="4"/>
  <c r="D64" i="4"/>
  <c r="C66" i="4"/>
  <c r="C67" i="4"/>
  <c r="C68" i="4"/>
  <c r="C69" i="4"/>
  <c r="C70" i="4"/>
  <c r="C65" i="4"/>
  <c r="C64" i="4"/>
  <c r="C61" i="4"/>
  <c r="G62" i="4"/>
  <c r="C62" i="4"/>
  <c r="I54" i="4"/>
  <c r="I55" i="4"/>
  <c r="I56" i="4"/>
  <c r="I57" i="4"/>
  <c r="I58" i="4"/>
  <c r="I53" i="4"/>
  <c r="I52" i="4"/>
  <c r="H54" i="4"/>
  <c r="H55" i="4"/>
  <c r="H56" i="4"/>
  <c r="H57" i="4"/>
  <c r="H58" i="4"/>
  <c r="H53" i="4"/>
  <c r="H52" i="4"/>
  <c r="G54" i="4"/>
  <c r="G55" i="4"/>
  <c r="G56" i="4"/>
  <c r="G57" i="4"/>
  <c r="G58" i="4"/>
  <c r="G53" i="4"/>
  <c r="G52" i="4"/>
  <c r="E54" i="4"/>
  <c r="E55" i="4"/>
  <c r="E56" i="4"/>
  <c r="E57" i="4"/>
  <c r="E58" i="4"/>
  <c r="E53" i="4"/>
  <c r="E52" i="4"/>
  <c r="D54" i="4"/>
  <c r="D55" i="4"/>
  <c r="D56" i="4"/>
  <c r="D57" i="4"/>
  <c r="D58" i="4"/>
  <c r="D53" i="4"/>
  <c r="D52" i="4"/>
  <c r="C54" i="4"/>
  <c r="C55" i="4"/>
  <c r="C56" i="4"/>
  <c r="C57" i="4"/>
  <c r="C58" i="4"/>
  <c r="C53" i="4"/>
  <c r="C52" i="4"/>
  <c r="C49" i="4"/>
  <c r="G50" i="4"/>
  <c r="C50" i="4"/>
  <c r="I18" i="4"/>
  <c r="I19" i="4"/>
  <c r="I20" i="4"/>
  <c r="I21" i="4"/>
  <c r="I22" i="4"/>
  <c r="I17" i="4"/>
  <c r="I16" i="4"/>
  <c r="H17" i="4"/>
  <c r="H18" i="4"/>
  <c r="H19" i="4"/>
  <c r="H20" i="4"/>
  <c r="H21" i="4"/>
  <c r="H22" i="4"/>
  <c r="H16" i="4"/>
  <c r="E18" i="4"/>
  <c r="E19" i="4"/>
  <c r="E20" i="4"/>
  <c r="E21" i="4"/>
  <c r="E22" i="4"/>
  <c r="E17" i="4"/>
  <c r="E16" i="4"/>
  <c r="D18" i="4"/>
  <c r="D19" i="4"/>
  <c r="D20" i="4"/>
  <c r="D21" i="4"/>
  <c r="D22" i="4"/>
  <c r="D17" i="4"/>
  <c r="D16" i="4"/>
  <c r="G18" i="4"/>
  <c r="G19" i="4"/>
  <c r="G20" i="4"/>
  <c r="G21" i="4"/>
  <c r="G22" i="4"/>
  <c r="G17" i="4"/>
  <c r="G16" i="4"/>
  <c r="G42" i="4"/>
  <c r="G43" i="4"/>
  <c r="G44" i="4"/>
  <c r="G45" i="4"/>
  <c r="G46" i="4"/>
  <c r="G41" i="4"/>
  <c r="G40" i="4"/>
  <c r="C42" i="4"/>
  <c r="C43" i="4"/>
  <c r="C44" i="4"/>
  <c r="C45" i="4"/>
  <c r="C46" i="4"/>
  <c r="C41" i="4"/>
  <c r="C40" i="4"/>
  <c r="C18" i="4"/>
  <c r="C19" i="4"/>
  <c r="C20" i="4"/>
  <c r="C21" i="4"/>
  <c r="C22" i="4"/>
  <c r="C17" i="4"/>
  <c r="C16" i="4"/>
  <c r="C13" i="4"/>
  <c r="K24" i="1"/>
  <c r="N24" i="1" s="1"/>
  <c r="L24" i="1"/>
  <c r="O24" i="1" s="1"/>
  <c r="M24" i="1"/>
  <c r="P24" i="1" s="1"/>
  <c r="C37" i="4"/>
  <c r="I42" i="4"/>
  <c r="I43" i="4"/>
  <c r="I44" i="4"/>
  <c r="I45" i="4"/>
  <c r="I46" i="4"/>
  <c r="I41" i="4"/>
  <c r="I40" i="4"/>
  <c r="H42" i="4"/>
  <c r="H43" i="4"/>
  <c r="H44" i="4"/>
  <c r="H45" i="4"/>
  <c r="H46" i="4"/>
  <c r="H41" i="4"/>
  <c r="H40" i="4"/>
  <c r="E42" i="4"/>
  <c r="E43" i="4"/>
  <c r="E44" i="4"/>
  <c r="E45" i="4"/>
  <c r="E46" i="4"/>
  <c r="E40" i="4"/>
  <c r="E41" i="4"/>
  <c r="D42" i="4"/>
  <c r="D43" i="4"/>
  <c r="D44" i="4"/>
  <c r="D45" i="4"/>
  <c r="D46" i="4"/>
  <c r="D41" i="4"/>
  <c r="D40" i="4"/>
  <c r="G38" i="4"/>
  <c r="C38" i="4"/>
  <c r="K23" i="1"/>
  <c r="N23" i="1" s="1"/>
  <c r="L23" i="1"/>
  <c r="O23" i="1" s="1"/>
  <c r="M23" i="1"/>
  <c r="P23" i="1" s="1"/>
  <c r="I30" i="4"/>
  <c r="I31" i="4"/>
  <c r="I32" i="4"/>
  <c r="I33" i="4"/>
  <c r="I34" i="4"/>
  <c r="I29" i="4"/>
  <c r="I28" i="4"/>
  <c r="H30" i="4"/>
  <c r="H31" i="4"/>
  <c r="H32" i="4"/>
  <c r="H33" i="4"/>
  <c r="H34" i="4"/>
  <c r="H29" i="4"/>
  <c r="H28" i="4"/>
  <c r="E30" i="4"/>
  <c r="E31" i="4"/>
  <c r="E32" i="4"/>
  <c r="E33" i="4"/>
  <c r="E34" i="4"/>
  <c r="E29" i="4"/>
  <c r="E28" i="4"/>
  <c r="D30" i="4"/>
  <c r="D31" i="4"/>
  <c r="D32" i="4"/>
  <c r="D33" i="4"/>
  <c r="D34" i="4"/>
  <c r="D29" i="4"/>
  <c r="D28" i="4"/>
  <c r="I6" i="4"/>
  <c r="I7" i="4"/>
  <c r="I8" i="4"/>
  <c r="I9" i="4"/>
  <c r="I10" i="4"/>
  <c r="I5" i="4"/>
  <c r="I4" i="4"/>
  <c r="H6" i="4"/>
  <c r="H7" i="4"/>
  <c r="H8" i="4"/>
  <c r="H9" i="4"/>
  <c r="H10" i="4"/>
  <c r="H5" i="4"/>
  <c r="H4" i="4"/>
  <c r="D4" i="4"/>
  <c r="D6" i="4"/>
  <c r="D7" i="4"/>
  <c r="D8" i="4"/>
  <c r="D9" i="4"/>
  <c r="D10" i="4"/>
  <c r="D5" i="4"/>
  <c r="E5" i="4"/>
  <c r="E6" i="4"/>
  <c r="E7" i="4"/>
  <c r="E8" i="4"/>
  <c r="E9" i="4"/>
  <c r="E10" i="4"/>
  <c r="E4" i="4"/>
  <c r="H28" i="3"/>
  <c r="H29" i="3"/>
  <c r="H30" i="3"/>
  <c r="H31" i="3"/>
  <c r="H32" i="3"/>
  <c r="H27" i="3"/>
  <c r="H26" i="3"/>
  <c r="D28" i="3"/>
  <c r="D29" i="3"/>
  <c r="D30" i="3"/>
  <c r="D31" i="3"/>
  <c r="D32" i="3"/>
  <c r="D26" i="3"/>
  <c r="D27" i="3"/>
  <c r="H17" i="3"/>
  <c r="H18" i="3"/>
  <c r="H19" i="3"/>
  <c r="H20" i="3"/>
  <c r="H21" i="3"/>
  <c r="H16" i="3"/>
  <c r="H15" i="3"/>
  <c r="D17" i="3"/>
  <c r="D18" i="3"/>
  <c r="D19" i="3"/>
  <c r="D20" i="3"/>
  <c r="D21" i="3"/>
  <c r="D16" i="3"/>
  <c r="D15" i="3"/>
  <c r="H6" i="3"/>
  <c r="H7" i="3"/>
  <c r="H8" i="3"/>
  <c r="H9" i="3"/>
  <c r="H10" i="3"/>
  <c r="H5" i="3"/>
  <c r="H4" i="3"/>
  <c r="D6" i="3"/>
  <c r="D7" i="3"/>
  <c r="D8" i="3"/>
  <c r="D9" i="3"/>
  <c r="D10" i="3"/>
  <c r="D5" i="3"/>
  <c r="D4" i="3"/>
  <c r="H36" i="2"/>
  <c r="H37" i="2"/>
  <c r="H38" i="2"/>
  <c r="H35" i="2"/>
  <c r="H34" i="2"/>
  <c r="D36" i="2"/>
  <c r="D37" i="2"/>
  <c r="D38" i="2"/>
  <c r="D35" i="2"/>
  <c r="D34" i="2"/>
  <c r="H25" i="2"/>
  <c r="H26" i="2"/>
  <c r="H27" i="2"/>
  <c r="H28" i="2"/>
  <c r="H24" i="2"/>
  <c r="D24" i="2"/>
  <c r="D25" i="2"/>
  <c r="D26" i="2"/>
  <c r="D27" i="2"/>
  <c r="D28" i="2"/>
  <c r="H15" i="2"/>
  <c r="H16" i="2"/>
  <c r="H17" i="2"/>
  <c r="H18" i="2"/>
  <c r="H14" i="2"/>
  <c r="D18" i="2"/>
  <c r="D15" i="2"/>
  <c r="D16" i="2"/>
  <c r="D17" i="2"/>
  <c r="D14" i="2"/>
  <c r="H5" i="2"/>
  <c r="H6" i="2"/>
  <c r="H7" i="2"/>
  <c r="H8" i="2"/>
  <c r="H4" i="2"/>
  <c r="D5" i="2"/>
  <c r="D6" i="2"/>
  <c r="D7" i="2"/>
  <c r="D8" i="2"/>
  <c r="D4" i="2"/>
  <c r="I32" i="3"/>
  <c r="I31" i="3"/>
  <c r="I30" i="3"/>
  <c r="I29" i="3"/>
  <c r="I28" i="3"/>
  <c r="I27" i="3"/>
  <c r="I26" i="3"/>
  <c r="G32" i="3"/>
  <c r="G31" i="3"/>
  <c r="G30" i="3"/>
  <c r="G29" i="3"/>
  <c r="G28" i="3"/>
  <c r="G27" i="3"/>
  <c r="G26" i="3"/>
  <c r="E32" i="3"/>
  <c r="E31" i="3"/>
  <c r="E30" i="3"/>
  <c r="E29" i="3"/>
  <c r="E28" i="3"/>
  <c r="E27" i="3"/>
  <c r="C32" i="3"/>
  <c r="C31" i="3"/>
  <c r="C30" i="3"/>
  <c r="C29" i="3"/>
  <c r="C28" i="3"/>
  <c r="C27" i="3"/>
  <c r="E26" i="3"/>
  <c r="G24" i="3"/>
  <c r="C24" i="3"/>
  <c r="C26" i="3"/>
  <c r="C23" i="3"/>
  <c r="K20" i="1"/>
  <c r="L20" i="1"/>
  <c r="M20" i="1"/>
  <c r="R26" i="1"/>
  <c r="L26" i="1"/>
  <c r="O26" i="1" s="1"/>
  <c r="K26" i="1"/>
  <c r="N26" i="1" s="1"/>
  <c r="M25" i="1"/>
  <c r="P25" i="1" s="1"/>
  <c r="L25" i="1"/>
  <c r="O25" i="1" s="1"/>
  <c r="K25" i="1"/>
  <c r="N25" i="1" s="1"/>
  <c r="R25" i="1"/>
  <c r="R15" i="1"/>
  <c r="R16" i="1"/>
  <c r="R17" i="1"/>
  <c r="R18" i="1"/>
  <c r="R19" i="1"/>
  <c r="R20" i="1"/>
  <c r="R21" i="1"/>
  <c r="R22" i="1"/>
  <c r="R23" i="1"/>
  <c r="R24" i="1"/>
  <c r="R14" i="1"/>
  <c r="W17" i="1" s="1"/>
  <c r="U20" i="1"/>
  <c r="U19" i="1"/>
  <c r="C1" i="2"/>
  <c r="C2" i="2"/>
  <c r="G2" i="2"/>
  <c r="C4" i="2"/>
  <c r="E4" i="2"/>
  <c r="G4" i="2"/>
  <c r="I4" i="2"/>
  <c r="C5" i="2"/>
  <c r="E5" i="2"/>
  <c r="G5" i="2"/>
  <c r="I5" i="2"/>
  <c r="C6" i="2"/>
  <c r="E6" i="2"/>
  <c r="G6" i="2"/>
  <c r="I6" i="2"/>
  <c r="C7" i="2"/>
  <c r="E7" i="2"/>
  <c r="G7" i="2"/>
  <c r="I7" i="2"/>
  <c r="C8" i="2"/>
  <c r="E8" i="2"/>
  <c r="G8" i="2"/>
  <c r="I8" i="2"/>
  <c r="C11" i="2"/>
  <c r="C12" i="2"/>
  <c r="G12" i="2"/>
  <c r="C14" i="2"/>
  <c r="E14" i="2"/>
  <c r="G14" i="2"/>
  <c r="I14" i="2"/>
  <c r="C15" i="2"/>
  <c r="E15" i="2"/>
  <c r="G15" i="2"/>
  <c r="I15" i="2"/>
  <c r="C16" i="2"/>
  <c r="E16" i="2"/>
  <c r="G16" i="2"/>
  <c r="I16" i="2"/>
  <c r="C17" i="2"/>
  <c r="E17" i="2"/>
  <c r="G17" i="2"/>
  <c r="I17" i="2"/>
  <c r="C18" i="2"/>
  <c r="E18" i="2"/>
  <c r="G18" i="2"/>
  <c r="I18" i="2"/>
  <c r="C21" i="2"/>
  <c r="C22" i="2"/>
  <c r="G22" i="2"/>
  <c r="C24" i="2"/>
  <c r="E24" i="2"/>
  <c r="G24" i="2"/>
  <c r="I24" i="2"/>
  <c r="C25" i="2"/>
  <c r="E25" i="2"/>
  <c r="G25" i="2"/>
  <c r="I25" i="2"/>
  <c r="C26" i="2"/>
  <c r="E26" i="2"/>
  <c r="G26" i="2"/>
  <c r="I26" i="2"/>
  <c r="C27" i="2"/>
  <c r="E27" i="2"/>
  <c r="G27" i="2"/>
  <c r="I27" i="2"/>
  <c r="C28" i="2"/>
  <c r="E28" i="2"/>
  <c r="G28" i="2"/>
  <c r="I28" i="2"/>
  <c r="C31" i="2"/>
  <c r="C32" i="2"/>
  <c r="G32" i="2"/>
  <c r="C34" i="2"/>
  <c r="E34" i="2"/>
  <c r="G34" i="2"/>
  <c r="I34" i="2"/>
  <c r="C35" i="2"/>
  <c r="E35" i="2"/>
  <c r="G35" i="2"/>
  <c r="I35" i="2"/>
  <c r="C36" i="2"/>
  <c r="E36" i="2"/>
  <c r="G36" i="2"/>
  <c r="I36" i="2"/>
  <c r="C37" i="2"/>
  <c r="E37" i="2"/>
  <c r="G37" i="2"/>
  <c r="I37" i="2"/>
  <c r="C38" i="2"/>
  <c r="E38" i="2"/>
  <c r="G38" i="2"/>
  <c r="I38" i="2"/>
  <c r="I21" i="3"/>
  <c r="I16" i="3"/>
  <c r="I17" i="3"/>
  <c r="I18" i="3"/>
  <c r="I19" i="3"/>
  <c r="I20" i="3"/>
  <c r="I15" i="3"/>
  <c r="I5" i="3"/>
  <c r="I6" i="3"/>
  <c r="I7" i="3"/>
  <c r="I8" i="3"/>
  <c r="I9" i="3"/>
  <c r="I10" i="3"/>
  <c r="I4" i="3"/>
  <c r="E16" i="3"/>
  <c r="E17" i="3"/>
  <c r="E18" i="3"/>
  <c r="E19" i="3"/>
  <c r="E20" i="3"/>
  <c r="E21" i="3"/>
  <c r="E15" i="3"/>
  <c r="E5" i="3"/>
  <c r="E6" i="3"/>
  <c r="E7" i="3"/>
  <c r="E8" i="3"/>
  <c r="E9" i="3"/>
  <c r="E10" i="3"/>
  <c r="E4" i="3"/>
  <c r="N14" i="1"/>
  <c r="M14" i="1"/>
  <c r="P14" i="1" s="1"/>
  <c r="L19" i="1"/>
  <c r="O19" i="1"/>
  <c r="W19" i="1" l="1"/>
  <c r="W20" i="1"/>
  <c r="J58" i="4"/>
  <c r="J57" i="4"/>
  <c r="J56" i="4"/>
  <c r="J66" i="4"/>
  <c r="J55" i="4"/>
  <c r="F64" i="4"/>
  <c r="F65" i="4"/>
  <c r="J64" i="4"/>
  <c r="F70" i="4"/>
  <c r="F56" i="4"/>
  <c r="J27" i="3"/>
  <c r="J67" i="4"/>
  <c r="J69" i="4"/>
  <c r="J68" i="4"/>
  <c r="J65" i="4"/>
  <c r="J70" i="4"/>
  <c r="F66" i="4"/>
  <c r="F68" i="4"/>
  <c r="F69" i="4"/>
  <c r="F67" i="4"/>
  <c r="J54" i="4"/>
  <c r="J52" i="4"/>
  <c r="J53" i="4"/>
  <c r="F54" i="4"/>
  <c r="F58" i="4"/>
  <c r="F57" i="4"/>
  <c r="F53" i="4"/>
  <c r="F52" i="4"/>
  <c r="F55" i="4"/>
  <c r="F46" i="4"/>
  <c r="J45" i="4"/>
  <c r="F45" i="4"/>
  <c r="J42" i="4"/>
  <c r="J44" i="4"/>
  <c r="F43" i="4"/>
  <c r="J43" i="4"/>
  <c r="F42" i="4"/>
  <c r="K42" i="4" s="1"/>
  <c r="L42" i="4" s="1"/>
  <c r="F40" i="4"/>
  <c r="F44" i="4"/>
  <c r="J46" i="4"/>
  <c r="J41" i="4"/>
  <c r="J40" i="4"/>
  <c r="F41" i="4"/>
  <c r="J29" i="3"/>
  <c r="J31" i="3"/>
  <c r="F28" i="3"/>
  <c r="F32" i="3"/>
  <c r="F29" i="3"/>
  <c r="F26" i="3"/>
  <c r="F31" i="3"/>
  <c r="J26" i="3"/>
  <c r="J30" i="3"/>
  <c r="J28" i="3"/>
  <c r="J32" i="3"/>
  <c r="F27" i="3"/>
  <c r="F30" i="3"/>
  <c r="F36" i="2"/>
  <c r="F5" i="2"/>
  <c r="F14" i="2"/>
  <c r="F28" i="2"/>
  <c r="J35" i="2"/>
  <c r="J8" i="2"/>
  <c r="F24" i="2"/>
  <c r="J18" i="2"/>
  <c r="J16" i="2"/>
  <c r="J17" i="2"/>
  <c r="F16" i="2"/>
  <c r="F8" i="2"/>
  <c r="F7" i="2"/>
  <c r="J15" i="2"/>
  <c r="J4" i="2"/>
  <c r="F35" i="2"/>
  <c r="F4" i="2"/>
  <c r="J14" i="2"/>
  <c r="J6" i="2"/>
  <c r="J37" i="2"/>
  <c r="F15" i="2"/>
  <c r="J24" i="2"/>
  <c r="J27" i="2"/>
  <c r="F6" i="2"/>
  <c r="F38" i="2"/>
  <c r="J26" i="2"/>
  <c r="J25" i="2"/>
  <c r="F18" i="2"/>
  <c r="J7" i="2"/>
  <c r="F17" i="2"/>
  <c r="J34" i="2"/>
  <c r="F26" i="2"/>
  <c r="J28" i="2"/>
  <c r="J38" i="2"/>
  <c r="F34" i="2"/>
  <c r="F37" i="2"/>
  <c r="J36" i="2"/>
  <c r="F25" i="2"/>
  <c r="F27" i="2"/>
  <c r="J5" i="2"/>
  <c r="W21" i="1" l="1"/>
  <c r="K44" i="4"/>
  <c r="L44" i="4" s="1"/>
  <c r="K57" i="4"/>
  <c r="L57" i="4" s="1"/>
  <c r="K43" i="4"/>
  <c r="L43" i="4" s="1"/>
  <c r="K64" i="4"/>
  <c r="L64" i="4" s="1"/>
  <c r="W22" i="1"/>
  <c r="K56" i="4"/>
  <c r="L56" i="4" s="1"/>
  <c r="K55" i="4"/>
  <c r="L55" i="4" s="1"/>
  <c r="K58" i="4"/>
  <c r="L58" i="4" s="1"/>
  <c r="K66" i="4"/>
  <c r="L66" i="4" s="1"/>
  <c r="K65" i="4"/>
  <c r="L65" i="4" s="1"/>
  <c r="K70" i="4"/>
  <c r="L70" i="4" s="1"/>
  <c r="K54" i="4"/>
  <c r="L54" i="4" s="1"/>
  <c r="K4" i="2"/>
  <c r="L4" i="2" s="1"/>
  <c r="K67" i="4"/>
  <c r="L67" i="4" s="1"/>
  <c r="K69" i="4"/>
  <c r="L69" i="4" s="1"/>
  <c r="K8" i="2"/>
  <c r="L8" i="2" s="1"/>
  <c r="K52" i="4"/>
  <c r="L52" i="4" s="1"/>
  <c r="K27" i="3"/>
  <c r="L27" i="3" s="1"/>
  <c r="K53" i="4"/>
  <c r="L53" i="4" s="1"/>
  <c r="K28" i="2"/>
  <c r="L28" i="2" s="1"/>
  <c r="K18" i="2"/>
  <c r="L18" i="2" s="1"/>
  <c r="K45" i="4"/>
  <c r="L45" i="4" s="1"/>
  <c r="K46" i="4"/>
  <c r="L46" i="4" s="1"/>
  <c r="K16" i="2"/>
  <c r="L16" i="2" s="1"/>
  <c r="K68" i="4"/>
  <c r="L68" i="4" s="1"/>
  <c r="K40" i="4"/>
  <c r="L40" i="4" s="1"/>
  <c r="K41" i="4"/>
  <c r="L41" i="4" s="1"/>
  <c r="K31" i="3"/>
  <c r="L31" i="3" s="1"/>
  <c r="K29" i="3"/>
  <c r="L29" i="3" s="1"/>
  <c r="K35" i="2"/>
  <c r="L35" i="2" s="1"/>
  <c r="K14" i="2"/>
  <c r="L14" i="2" s="1"/>
  <c r="K30" i="3"/>
  <c r="L30" i="3" s="1"/>
  <c r="K32" i="3"/>
  <c r="L32" i="3" s="1"/>
  <c r="K28" i="3"/>
  <c r="L28" i="3" s="1"/>
  <c r="K26" i="3"/>
  <c r="L26" i="3" s="1"/>
  <c r="K36" i="2"/>
  <c r="L36" i="2" s="1"/>
  <c r="K5" i="2"/>
  <c r="L5" i="2" s="1"/>
  <c r="K24" i="2"/>
  <c r="L24" i="2" s="1"/>
  <c r="K15" i="2"/>
  <c r="L15" i="2" s="1"/>
  <c r="K17" i="2"/>
  <c r="L17" i="2" s="1"/>
  <c r="K6" i="2"/>
  <c r="L6" i="2" s="1"/>
  <c r="K26" i="2"/>
  <c r="L26" i="2" s="1"/>
  <c r="K27" i="2"/>
  <c r="L27" i="2" s="1"/>
  <c r="K38" i="2"/>
  <c r="L38" i="2" s="1"/>
  <c r="K7" i="2"/>
  <c r="L7" i="2" s="1"/>
  <c r="K34" i="2"/>
  <c r="L34" i="2" s="1"/>
  <c r="K25" i="2"/>
  <c r="L25" i="2" s="1"/>
  <c r="K37" i="2"/>
  <c r="L37" i="2" s="1"/>
  <c r="G26" i="4" l="1"/>
  <c r="C26" i="4"/>
  <c r="G14" i="4"/>
  <c r="C14" i="4"/>
  <c r="C2" i="4"/>
  <c r="G2" i="4"/>
  <c r="G13" i="3"/>
  <c r="G2" i="3"/>
  <c r="C13" i="3"/>
  <c r="C2" i="3"/>
  <c r="C25" i="4"/>
  <c r="C1" i="4"/>
  <c r="C12" i="3"/>
  <c r="C1" i="3"/>
  <c r="L14" i="1"/>
  <c r="N15" i="1"/>
  <c r="N18" i="1"/>
  <c r="H12" i="1"/>
  <c r="E12" i="1"/>
  <c r="C34" i="4" l="1"/>
  <c r="C33" i="4"/>
  <c r="C32" i="4"/>
  <c r="C31" i="4"/>
  <c r="C30" i="4"/>
  <c r="C29" i="4"/>
  <c r="C28" i="4"/>
  <c r="F28" i="4" s="1"/>
  <c r="F16" i="4"/>
  <c r="C10" i="4"/>
  <c r="C9" i="4"/>
  <c r="C8" i="4"/>
  <c r="C7" i="4"/>
  <c r="C6" i="4"/>
  <c r="C5" i="4"/>
  <c r="C4" i="4"/>
  <c r="F4" i="4" s="1"/>
  <c r="C21" i="3"/>
  <c r="C20" i="3"/>
  <c r="C19" i="3"/>
  <c r="C18" i="3"/>
  <c r="C17" i="3"/>
  <c r="C16" i="3"/>
  <c r="C15" i="3"/>
  <c r="C10" i="3"/>
  <c r="C9" i="3"/>
  <c r="C8" i="3"/>
  <c r="C7" i="3"/>
  <c r="C6" i="3"/>
  <c r="C5" i="3"/>
  <c r="C4" i="3"/>
  <c r="M22" i="1"/>
  <c r="P22" i="1" s="1"/>
  <c r="M19" i="1"/>
  <c r="P19" i="1" s="1"/>
  <c r="M18" i="1"/>
  <c r="P18" i="1" s="1"/>
  <c r="M17" i="1"/>
  <c r="P17" i="1" s="1"/>
  <c r="M16" i="1"/>
  <c r="P16" i="1" s="1"/>
  <c r="M15" i="1"/>
  <c r="P15" i="1" s="1"/>
  <c r="F10" i="3" l="1"/>
  <c r="F9" i="4"/>
  <c r="F5" i="4"/>
  <c r="F16" i="3"/>
  <c r="F17" i="3"/>
  <c r="F8" i="4"/>
  <c r="F32" i="4"/>
  <c r="F10" i="4"/>
  <c r="F18" i="4"/>
  <c r="F19" i="3"/>
  <c r="F20" i="3"/>
  <c r="F6" i="3"/>
  <c r="F21" i="4"/>
  <c r="F22" i="4"/>
  <c r="F9" i="3"/>
  <c r="F34" i="4"/>
  <c r="F33" i="4"/>
  <c r="F31" i="4"/>
  <c r="F30" i="4"/>
  <c r="F29" i="4"/>
  <c r="F17" i="4"/>
  <c r="F20" i="4"/>
  <c r="F19" i="4"/>
  <c r="F6" i="4"/>
  <c r="F7" i="4"/>
  <c r="F18" i="3"/>
  <c r="F21" i="3"/>
  <c r="F15" i="3"/>
  <c r="F7" i="3"/>
  <c r="F8" i="3"/>
  <c r="F5" i="3"/>
  <c r="F4" i="3"/>
  <c r="K14" i="1" l="1"/>
  <c r="K15" i="1" l="1"/>
  <c r="G5" i="3" l="1"/>
  <c r="G7" i="3"/>
  <c r="G6" i="3"/>
  <c r="G4" i="3"/>
  <c r="G8" i="3"/>
  <c r="G10" i="3"/>
  <c r="G9" i="3"/>
  <c r="K18" i="1"/>
  <c r="G5" i="4" l="1"/>
  <c r="G4" i="4"/>
  <c r="G10" i="4"/>
  <c r="K22" i="1"/>
  <c r="N22" i="1" s="1"/>
  <c r="G6" i="4"/>
  <c r="G8" i="4"/>
  <c r="G7" i="4"/>
  <c r="G9" i="4"/>
  <c r="N16" i="1"/>
  <c r="G29" i="4"/>
  <c r="G33" i="4"/>
  <c r="G32" i="4"/>
  <c r="G34" i="4"/>
  <c r="G28" i="4"/>
  <c r="K21" i="1"/>
  <c r="N21" i="1" s="1"/>
  <c r="G31" i="4"/>
  <c r="G30" i="4"/>
  <c r="G21" i="3"/>
  <c r="G17" i="3"/>
  <c r="G20" i="3"/>
  <c r="G18" i="3"/>
  <c r="G15" i="3"/>
  <c r="K19" i="1"/>
  <c r="N19" i="1" s="1"/>
  <c r="G19" i="3"/>
  <c r="G16" i="3"/>
  <c r="L18" i="1"/>
  <c r="O18" i="1" s="1"/>
  <c r="J8" i="3"/>
  <c r="K8" i="3" s="1"/>
  <c r="L8" i="3" s="1"/>
  <c r="J6" i="3"/>
  <c r="K6" i="3" s="1"/>
  <c r="L6" i="3" s="1"/>
  <c r="J5" i="3"/>
  <c r="K5" i="3" s="1"/>
  <c r="L5" i="3" s="1"/>
  <c r="J10" i="3"/>
  <c r="K10" i="3" s="1"/>
  <c r="L10" i="3" s="1"/>
  <c r="J4" i="3"/>
  <c r="K4" i="3" s="1"/>
  <c r="L4" i="3" s="1"/>
  <c r="J9" i="3"/>
  <c r="K9" i="3" s="1"/>
  <c r="L9" i="3" s="1"/>
  <c r="J7" i="3"/>
  <c r="K7" i="3" s="1"/>
  <c r="L7" i="3" s="1"/>
  <c r="N20" i="1"/>
  <c r="N17" i="1"/>
  <c r="L22" i="1"/>
  <c r="O22" i="1" s="1"/>
  <c r="L15" i="1" l="1"/>
  <c r="O15" i="1" s="1"/>
  <c r="P20" i="1"/>
  <c r="J19" i="3"/>
  <c r="K19" i="3" s="1"/>
  <c r="L19" i="3" s="1"/>
  <c r="J15" i="3"/>
  <c r="K15" i="3" s="1"/>
  <c r="L15" i="3" s="1"/>
  <c r="J18" i="3"/>
  <c r="K18" i="3" s="1"/>
  <c r="L18" i="3" s="1"/>
  <c r="J17" i="3"/>
  <c r="K17" i="3" s="1"/>
  <c r="L17" i="3" s="1"/>
  <c r="J16" i="3"/>
  <c r="K16" i="3" s="1"/>
  <c r="L16" i="3" s="1"/>
  <c r="J21" i="3"/>
  <c r="K21" i="3" s="1"/>
  <c r="L21" i="3" s="1"/>
  <c r="J20" i="3"/>
  <c r="K20" i="3" s="1"/>
  <c r="L20" i="3" s="1"/>
  <c r="J6" i="4"/>
  <c r="K6" i="4" s="1"/>
  <c r="L6" i="4" s="1"/>
  <c r="J5" i="4"/>
  <c r="K5" i="4" s="1"/>
  <c r="L5" i="4" s="1"/>
  <c r="J9" i="4"/>
  <c r="K9" i="4" s="1"/>
  <c r="L9" i="4" s="1"/>
  <c r="J8" i="4"/>
  <c r="K8" i="4" s="1"/>
  <c r="L8" i="4" s="1"/>
  <c r="J4" i="4"/>
  <c r="K4" i="4" s="1"/>
  <c r="L4" i="4" s="1"/>
  <c r="J10" i="4"/>
  <c r="K10" i="4" s="1"/>
  <c r="L10" i="4" s="1"/>
  <c r="J7" i="4"/>
  <c r="K7" i="4" s="1"/>
  <c r="L7" i="4" s="1"/>
  <c r="M21" i="1"/>
  <c r="P21" i="1" s="1"/>
  <c r="O20" i="1"/>
  <c r="L16" i="1"/>
  <c r="O16" i="1" s="1"/>
  <c r="L21" i="1"/>
  <c r="O21" i="1" s="1"/>
  <c r="L17" i="1"/>
  <c r="O17" i="1" s="1"/>
  <c r="J28" i="4" l="1"/>
  <c r="K28" i="4" s="1"/>
  <c r="L28" i="4" s="1"/>
  <c r="J32" i="4"/>
  <c r="K32" i="4" s="1"/>
  <c r="L32" i="4" s="1"/>
  <c r="J20" i="4"/>
  <c r="J33" i="4"/>
  <c r="K33" i="4" s="1"/>
  <c r="L33" i="4" s="1"/>
  <c r="J17" i="4"/>
  <c r="J29" i="4"/>
  <c r="K29" i="4" s="1"/>
  <c r="L29" i="4" s="1"/>
  <c r="J19" i="4"/>
  <c r="J31" i="4"/>
  <c r="K31" i="4" s="1"/>
  <c r="L31" i="4" s="1"/>
  <c r="J16" i="4"/>
  <c r="K16" i="4" s="1"/>
  <c r="L16" i="4" s="1"/>
  <c r="J30" i="4"/>
  <c r="K30" i="4" s="1"/>
  <c r="L30" i="4" s="1"/>
  <c r="J21" i="4"/>
  <c r="J34" i="4"/>
  <c r="K34" i="4" s="1"/>
  <c r="L34" i="4" s="1"/>
  <c r="J18" i="4"/>
  <c r="J22" i="4"/>
  <c r="K22" i="4" l="1"/>
  <c r="L22" i="4" s="1"/>
  <c r="K18" i="4"/>
  <c r="L18" i="4" s="1"/>
  <c r="K19" i="4"/>
  <c r="L19" i="4" s="1"/>
  <c r="K17" i="4"/>
  <c r="L17" i="4" s="1"/>
  <c r="K21" i="4"/>
  <c r="L21" i="4" s="1"/>
  <c r="K20" i="4"/>
  <c r="L20" i="4" s="1"/>
</calcChain>
</file>

<file path=xl/sharedStrings.xml><?xml version="1.0" encoding="utf-8"?>
<sst xmlns="http://schemas.openxmlformats.org/spreadsheetml/2006/main" count="797" uniqueCount="112">
  <si>
    <t>Tariff description</t>
  </si>
  <si>
    <t>Usage</t>
  </si>
  <si>
    <t>Total Charge</t>
  </si>
  <si>
    <t>kWh Monthly</t>
  </si>
  <si>
    <t>% Increase/Decrease</t>
  </si>
  <si>
    <t>Basic/Fixed Charge</t>
  </si>
  <si>
    <t>Basic/Fixed Charge (R/Month)</t>
  </si>
  <si>
    <t>Energy Charge</t>
  </si>
  <si>
    <t>Demand Charge</t>
  </si>
  <si>
    <t>Rand Increase/Decrease</t>
  </si>
  <si>
    <t>Tariff %age Increase/Decrease</t>
  </si>
  <si>
    <t>Tariff Percentage Increase /Decrease</t>
  </si>
  <si>
    <t>Type in Year 1 e.g. "2025/26"</t>
  </si>
  <si>
    <t>Type in Year 2 e.g. "2026/27"</t>
  </si>
  <si>
    <t>Tariff Category</t>
  </si>
  <si>
    <t>Average Basic/Fixed Charge (R/Month)</t>
  </si>
  <si>
    <t>Enter average kWh uage per month</t>
  </si>
  <si>
    <t>Percentage difference</t>
  </si>
  <si>
    <t xml:space="preserve">kVA </t>
  </si>
  <si>
    <t>Total monthly demand (kVA)</t>
  </si>
  <si>
    <t>Domestic</t>
  </si>
  <si>
    <t>SPU</t>
  </si>
  <si>
    <t>LPU</t>
  </si>
  <si>
    <t>Average kVA demand per month</t>
  </si>
  <si>
    <t xml:space="preserve">Energy Charge (R) </t>
  </si>
  <si>
    <t xml:space="preserve">Demand Charge (R) </t>
  </si>
  <si>
    <t>Prepaid domestic</t>
  </si>
  <si>
    <r>
      <t>Populate the tariff table below using the rates for Year 1 and Year 2 from the "</t>
    </r>
    <r>
      <rPr>
        <b/>
        <sz val="11"/>
        <color theme="1"/>
        <rFont val="Calibri"/>
        <family val="2"/>
        <scheme val="minor"/>
      </rPr>
      <t>Tariff Schedule (Year 2)</t>
    </r>
    <r>
      <rPr>
        <sz val="11"/>
        <color theme="1"/>
        <rFont val="Calibri"/>
        <family val="2"/>
        <scheme val="minor"/>
      </rPr>
      <t>" worksheet of your populated COS tool)</t>
    </r>
  </si>
  <si>
    <t>Year 1</t>
  </si>
  <si>
    <t>Rand value difference</t>
  </si>
  <si>
    <r>
      <rPr>
        <b/>
        <sz val="11"/>
        <color theme="0"/>
        <rFont val="Calibri"/>
        <family val="2"/>
        <scheme val="minor"/>
      </rPr>
      <t>Peak</t>
    </r>
    <r>
      <rPr>
        <sz val="11"/>
        <color theme="0"/>
        <rFont val="Calibri"/>
        <family val="2"/>
        <scheme val="minor"/>
      </rPr>
      <t xml:space="preserve"> Energy Charge (R/kWh)</t>
    </r>
  </si>
  <si>
    <r>
      <rPr>
        <b/>
        <sz val="11"/>
        <color theme="0"/>
        <rFont val="Calibri"/>
        <family val="2"/>
        <scheme val="minor"/>
      </rPr>
      <t xml:space="preserve">Standard </t>
    </r>
    <r>
      <rPr>
        <sz val="11"/>
        <color theme="0"/>
        <rFont val="Calibri"/>
        <family val="2"/>
        <scheme val="minor"/>
      </rPr>
      <t>Energy Charge (R/kWh)</t>
    </r>
  </si>
  <si>
    <r>
      <rPr>
        <b/>
        <sz val="11"/>
        <color theme="0"/>
        <rFont val="Calibri"/>
        <family val="2"/>
        <scheme val="minor"/>
      </rPr>
      <t>Off-Peak</t>
    </r>
    <r>
      <rPr>
        <sz val="11"/>
        <color theme="0"/>
        <rFont val="Calibri"/>
        <family val="2"/>
        <scheme val="minor"/>
      </rPr>
      <t xml:space="preserve"> Energy Charge (R/kWh)</t>
    </r>
  </si>
  <si>
    <t>Demand Charge (R/KVA)</t>
  </si>
  <si>
    <t>Energy Charge (R/kWh)</t>
  </si>
  <si>
    <t xml:space="preserve"> Basic/Fixed Charge (R/Month)</t>
  </si>
  <si>
    <t>Year 2</t>
  </si>
  <si>
    <t>Peak</t>
  </si>
  <si>
    <t>Standard</t>
  </si>
  <si>
    <t>Off-peak</t>
  </si>
  <si>
    <t>Low Season Comparison</t>
  </si>
  <si>
    <t>High Season Comparison</t>
  </si>
  <si>
    <t>Charge increase/decrease (Rand)</t>
  </si>
  <si>
    <t>A</t>
  </si>
  <si>
    <t>B</t>
  </si>
  <si>
    <t>C</t>
  </si>
  <si>
    <t>E</t>
  </si>
  <si>
    <t>F</t>
  </si>
  <si>
    <t>D</t>
  </si>
  <si>
    <t>G</t>
  </si>
  <si>
    <t>H</t>
  </si>
  <si>
    <t>I</t>
  </si>
  <si>
    <t>J</t>
  </si>
  <si>
    <t>Flat Tariffs</t>
  </si>
  <si>
    <t>TOU Tariffs</t>
  </si>
  <si>
    <t>TOU Tariff Comparison</t>
  </si>
  <si>
    <t>Enter the average demand (kVA) per month for a customer per tariff category</t>
  </si>
  <si>
    <t>Flat tariff "Single customer" Tariff Impact calculator</t>
  </si>
  <si>
    <t>&lt;- Click on yellow cell to activate option drop-down</t>
  </si>
  <si>
    <t>Select customer flat tariff</t>
  </si>
  <si>
    <t>Enter the average demand (kVA) per month for a customer per flat tariff category</t>
  </si>
  <si>
    <t>TOU tariff "Single customer" Tariff Impact calculator</t>
  </si>
  <si>
    <t>Low season average monthly demand (kVA)</t>
  </si>
  <si>
    <t>High season Monthly demand (kVA)</t>
  </si>
  <si>
    <t>Rand Increase/decrease</t>
  </si>
  <si>
    <t>Enter percentage of kWh used during Peak</t>
  </si>
  <si>
    <t>%</t>
  </si>
  <si>
    <t>Enter percentage of kWh used during Standard</t>
  </si>
  <si>
    <t>Percentage of kWh used during Off-peak</t>
  </si>
  <si>
    <t>kWh</t>
  </si>
  <si>
    <t>Low season monthly "Peak" kWh cost</t>
  </si>
  <si>
    <t>Low season monthly "Standard" kWh cost</t>
  </si>
  <si>
    <t>Low season monthly "Off-Peak" kWh cost</t>
  </si>
  <si>
    <t>High season monthly "Peak" kWh cost</t>
  </si>
  <si>
    <t>High season monthly "Standard" kWh cost</t>
  </si>
  <si>
    <t>High season monthly "Off-Peak" kWh cost</t>
  </si>
  <si>
    <r>
      <t xml:space="preserve">Enter average </t>
    </r>
    <r>
      <rPr>
        <b/>
        <sz val="11"/>
        <color theme="1"/>
        <rFont val="Calibri"/>
        <family val="2"/>
        <scheme val="minor"/>
      </rPr>
      <t>High</t>
    </r>
    <r>
      <rPr>
        <sz val="11"/>
        <color theme="1"/>
        <rFont val="Calibri"/>
        <family val="2"/>
        <scheme val="minor"/>
      </rPr>
      <t xml:space="preserve"> Season kWh uage per month</t>
    </r>
  </si>
  <si>
    <r>
      <t>Enter average</t>
    </r>
    <r>
      <rPr>
        <b/>
        <sz val="11"/>
        <color theme="1"/>
        <rFont val="Calibri"/>
        <family val="2"/>
        <scheme val="minor"/>
      </rPr>
      <t xml:space="preserve"> Low</t>
    </r>
    <r>
      <rPr>
        <sz val="11"/>
        <color theme="1"/>
        <rFont val="Calibri"/>
        <family val="2"/>
        <scheme val="minor"/>
      </rPr>
      <t xml:space="preserve"> Season kWh uage per month</t>
    </r>
  </si>
  <si>
    <t>Low season monthly Demand (kVA) cost</t>
  </si>
  <si>
    <t>High season monthly Demand (kVA) cost</t>
  </si>
  <si>
    <t>K</t>
  </si>
  <si>
    <t>L</t>
  </si>
  <si>
    <t>M</t>
  </si>
  <si>
    <t>Flat Tariff 1</t>
  </si>
  <si>
    <t>Flat Tariff 2</t>
  </si>
  <si>
    <t>Flat Tariff 3</t>
  </si>
  <si>
    <t>Flat Tariff 4</t>
  </si>
  <si>
    <t>Flat Tariff 5</t>
  </si>
  <si>
    <t>Flat Tariff 6</t>
  </si>
  <si>
    <t>Flat Tariff 7</t>
  </si>
  <si>
    <t>Flat Tariff 8</t>
  </si>
  <si>
    <t>Flat Tariff 9</t>
  </si>
  <si>
    <t>Flat Tariff 10</t>
  </si>
  <si>
    <t>Flat Tariff 11</t>
  </si>
  <si>
    <t>Flat Tariff 12</t>
  </si>
  <si>
    <t>Flat Tariff 13</t>
  </si>
  <si>
    <t>TOU Tariff 1</t>
  </si>
  <si>
    <t>TOU Tariff 2</t>
  </si>
  <si>
    <t>TOU Tariff 3</t>
  </si>
  <si>
    <t>TOU Tariff 4</t>
  </si>
  <si>
    <t>TOU Tariff 5</t>
  </si>
  <si>
    <t>TOU Tariff 6</t>
  </si>
  <si>
    <t>TOU Tariff 7</t>
  </si>
  <si>
    <t>TOU Tariff 8</t>
  </si>
  <si>
    <t>TOU Tariff 9</t>
  </si>
  <si>
    <t>TOU Tariff 10</t>
  </si>
  <si>
    <t xml:space="preserve">Peak kWh (R) </t>
  </si>
  <si>
    <t xml:space="preserve">Standard kWh (R) </t>
  </si>
  <si>
    <t xml:space="preserve">Off-Peak kWh (R) </t>
  </si>
  <si>
    <t>Offpeak</t>
  </si>
  <si>
    <t>Enter the consumption distribution -&gt;</t>
  </si>
  <si>
    <t>To accurately use this section, complete the kWh consumption distribution in the TOU Low and High Season comparision sheets. Use the buttons below to navigate to the required work sheets.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</si>
</sst>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&quot;R&quot;#,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86788"/>
      <name val="Calibri"/>
      <family val="2"/>
      <scheme val="minor"/>
    </font>
    <font>
      <b/>
      <sz val="24"/>
      <color rgb="FF08678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86788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86788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07A0C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8" tint="0.3999450666829432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rgb="FF086788"/>
      </left>
      <right/>
      <top style="thick">
        <color rgb="FF086788"/>
      </top>
      <bottom/>
      <diagonal/>
    </border>
    <border>
      <left/>
      <right/>
      <top style="thick">
        <color rgb="FF086788"/>
      </top>
      <bottom/>
      <diagonal/>
    </border>
    <border>
      <left/>
      <right style="thick">
        <color rgb="FF086788"/>
      </right>
      <top style="thick">
        <color rgb="FF086788"/>
      </top>
      <bottom/>
      <diagonal/>
    </border>
    <border>
      <left style="thick">
        <color rgb="FF086788"/>
      </left>
      <right/>
      <top/>
      <bottom/>
      <diagonal/>
    </border>
    <border>
      <left/>
      <right style="thick">
        <color rgb="FF086788"/>
      </right>
      <top/>
      <bottom/>
      <diagonal/>
    </border>
    <border>
      <left style="thick">
        <color rgb="FF086788"/>
      </left>
      <right/>
      <top/>
      <bottom style="thick">
        <color rgb="FF086788"/>
      </bottom>
      <diagonal/>
    </border>
    <border>
      <left/>
      <right/>
      <top/>
      <bottom style="thick">
        <color rgb="FF086788"/>
      </bottom>
      <diagonal/>
    </border>
    <border>
      <left/>
      <right style="thick">
        <color rgb="FF086788"/>
      </right>
      <top/>
      <bottom style="thick">
        <color rgb="FF086788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n">
        <color rgb="FF086788"/>
      </left>
      <right/>
      <top style="thin">
        <color rgb="FF086788"/>
      </top>
      <bottom/>
      <diagonal/>
    </border>
    <border>
      <left/>
      <right/>
      <top style="thin">
        <color rgb="FF086788"/>
      </top>
      <bottom/>
      <diagonal/>
    </border>
    <border>
      <left/>
      <right style="thin">
        <color rgb="FF086788"/>
      </right>
      <top style="thin">
        <color rgb="FF086788"/>
      </top>
      <bottom/>
      <diagonal/>
    </border>
    <border>
      <left style="thin">
        <color rgb="FF086788"/>
      </left>
      <right/>
      <top/>
      <bottom style="thin">
        <color rgb="FF086788"/>
      </bottom>
      <diagonal/>
    </border>
    <border>
      <left/>
      <right/>
      <top/>
      <bottom style="thin">
        <color rgb="FF086788"/>
      </bottom>
      <diagonal/>
    </border>
    <border>
      <left/>
      <right style="thin">
        <color rgb="FF086788"/>
      </right>
      <top/>
      <bottom style="thin">
        <color rgb="FF086788"/>
      </bottom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medium">
        <color rgb="FF086788"/>
      </left>
      <right/>
      <top style="medium">
        <color rgb="FF086788"/>
      </top>
      <bottom/>
      <diagonal/>
    </border>
    <border>
      <left/>
      <right/>
      <top style="medium">
        <color rgb="FF086788"/>
      </top>
      <bottom/>
      <diagonal/>
    </border>
    <border>
      <left/>
      <right style="medium">
        <color rgb="FF086788"/>
      </right>
      <top style="medium">
        <color rgb="FF086788"/>
      </top>
      <bottom/>
      <diagonal/>
    </border>
    <border>
      <left style="medium">
        <color rgb="FF086788"/>
      </left>
      <right/>
      <top/>
      <bottom style="medium">
        <color rgb="FF086788"/>
      </bottom>
      <diagonal/>
    </border>
    <border>
      <left/>
      <right/>
      <top/>
      <bottom style="medium">
        <color rgb="FF086788"/>
      </bottom>
      <diagonal/>
    </border>
    <border>
      <left/>
      <right style="medium">
        <color rgb="FF086788"/>
      </right>
      <top/>
      <bottom style="medium">
        <color rgb="FF086788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9" applyFill="0" applyProtection="0">
      <alignment vertical="center"/>
    </xf>
  </cellStyleXfs>
  <cellXfs count="246">
    <xf numFmtId="0" fontId="0" fillId="0" borderId="0" xfId="0"/>
    <xf numFmtId="0" fontId="0" fillId="4" borderId="0" xfId="0" applyFill="1" applyAlignment="1">
      <alignment horizontal="center"/>
    </xf>
    <xf numFmtId="165" fontId="0" fillId="4" borderId="0" xfId="0" applyNumberFormat="1" applyFill="1"/>
    <xf numFmtId="165" fontId="1" fillId="4" borderId="0" xfId="0" applyNumberFormat="1" applyFont="1" applyFill="1"/>
    <xf numFmtId="10" fontId="1" fillId="4" borderId="0" xfId="0" applyNumberFormat="1" applyFont="1" applyFill="1"/>
    <xf numFmtId="0" fontId="2" fillId="0" borderId="0" xfId="0" applyFont="1"/>
    <xf numFmtId="0" fontId="0" fillId="0" borderId="11" xfId="0" applyBorder="1"/>
    <xf numFmtId="0" fontId="0" fillId="0" borderId="12" xfId="0" applyBorder="1"/>
    <xf numFmtId="0" fontId="4" fillId="6" borderId="18" xfId="0" applyFont="1" applyFill="1" applyBorder="1" applyAlignment="1">
      <alignment horizontal="center" wrapText="1"/>
    </xf>
    <xf numFmtId="165" fontId="0" fillId="7" borderId="13" xfId="0" applyNumberFormat="1" applyFill="1" applyBorder="1"/>
    <xf numFmtId="165" fontId="0" fillId="7" borderId="18" xfId="0" applyNumberFormat="1" applyFill="1" applyBorder="1"/>
    <xf numFmtId="165" fontId="0" fillId="8" borderId="13" xfId="0" applyNumberFormat="1" applyFill="1" applyBorder="1"/>
    <xf numFmtId="0" fontId="0" fillId="0" borderId="20" xfId="0" applyBorder="1"/>
    <xf numFmtId="165" fontId="0" fillId="7" borderId="19" xfId="0" applyNumberFormat="1" applyFill="1" applyBorder="1"/>
    <xf numFmtId="165" fontId="0" fillId="7" borderId="16" xfId="0" applyNumberFormat="1" applyFill="1" applyBorder="1"/>
    <xf numFmtId="10" fontId="0" fillId="8" borderId="18" xfId="0" applyNumberFormat="1" applyFill="1" applyBorder="1"/>
    <xf numFmtId="10" fontId="0" fillId="8" borderId="16" xfId="0" applyNumberFormat="1" applyFill="1" applyBorder="1"/>
    <xf numFmtId="0" fontId="4" fillId="6" borderId="13" xfId="0" applyFont="1" applyFill="1" applyBorder="1" applyAlignment="1">
      <alignment horizontal="center" wrapText="1"/>
    </xf>
    <xf numFmtId="10" fontId="0" fillId="8" borderId="13" xfId="0" applyNumberFormat="1" applyFill="1" applyBorder="1"/>
    <xf numFmtId="10" fontId="0" fillId="8" borderId="24" xfId="0" applyNumberFormat="1" applyFill="1" applyBorder="1"/>
    <xf numFmtId="10" fontId="0" fillId="8" borderId="12" xfId="0" applyNumberFormat="1" applyFill="1" applyBorder="1"/>
    <xf numFmtId="10" fontId="0" fillId="8" borderId="11" xfId="0" applyNumberFormat="1" applyFill="1" applyBorder="1"/>
    <xf numFmtId="10" fontId="0" fillId="8" borderId="15" xfId="0" applyNumberFormat="1" applyFill="1" applyBorder="1"/>
    <xf numFmtId="165" fontId="0" fillId="7" borderId="20" xfId="0" applyNumberFormat="1" applyFill="1" applyBorder="1"/>
    <xf numFmtId="165" fontId="0" fillId="7" borderId="23" xfId="0" applyNumberFormat="1" applyFill="1" applyBorder="1"/>
    <xf numFmtId="165" fontId="0" fillId="7" borderId="0" xfId="0" applyNumberFormat="1" applyFill="1"/>
    <xf numFmtId="165" fontId="0" fillId="8" borderId="16" xfId="0" applyNumberFormat="1" applyFill="1" applyBorder="1"/>
    <xf numFmtId="165" fontId="0" fillId="8" borderId="24" xfId="0" applyNumberFormat="1" applyFill="1" applyBorder="1"/>
    <xf numFmtId="165" fontId="0" fillId="8" borderId="23" xfId="0" applyNumberFormat="1" applyFill="1" applyBorder="1"/>
    <xf numFmtId="165" fontId="0" fillId="8" borderId="12" xfId="0" applyNumberFormat="1" applyFill="1" applyBorder="1"/>
    <xf numFmtId="165" fontId="0" fillId="8" borderId="22" xfId="0" applyNumberFormat="1" applyFill="1" applyBorder="1"/>
    <xf numFmtId="165" fontId="0" fillId="8" borderId="15" xfId="0" applyNumberFormat="1" applyFill="1" applyBorder="1"/>
    <xf numFmtId="165" fontId="0" fillId="8" borderId="11" xfId="0" applyNumberFormat="1" applyFill="1" applyBorder="1"/>
    <xf numFmtId="0" fontId="4" fillId="6" borderId="10" xfId="0" applyFont="1" applyFill="1" applyBorder="1" applyAlignment="1">
      <alignment horizontal="center" wrapText="1"/>
    </xf>
    <xf numFmtId="165" fontId="0" fillId="7" borderId="21" xfId="0" applyNumberFormat="1" applyFill="1" applyBorder="1"/>
    <xf numFmtId="165" fontId="0" fillId="7" borderId="12" xfId="0" applyNumberFormat="1" applyFill="1" applyBorder="1"/>
    <xf numFmtId="165" fontId="0" fillId="7" borderId="15" xfId="0" applyNumberFormat="1" applyFill="1" applyBorder="1"/>
    <xf numFmtId="165" fontId="0" fillId="7" borderId="24" xfId="0" applyNumberFormat="1" applyFill="1" applyBorder="1"/>
    <xf numFmtId="0" fontId="4" fillId="6" borderId="23" xfId="0" applyFont="1" applyFill="1" applyBorder="1" applyAlignment="1">
      <alignment horizontal="center" wrapText="1"/>
    </xf>
    <xf numFmtId="0" fontId="0" fillId="2" borderId="23" xfId="0" applyFill="1" applyBorder="1"/>
    <xf numFmtId="0" fontId="0" fillId="2" borderId="15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9" xfId="0" applyFill="1" applyBorder="1"/>
    <xf numFmtId="0" fontId="0" fillId="2" borderId="0" xfId="0" applyFill="1"/>
    <xf numFmtId="0" fontId="0" fillId="7" borderId="0" xfId="0" applyFill="1"/>
    <xf numFmtId="165" fontId="0" fillId="8" borderId="0" xfId="0" applyNumberFormat="1" applyFill="1"/>
    <xf numFmtId="165" fontId="0" fillId="8" borderId="18" xfId="0" applyNumberFormat="1" applyFill="1" applyBorder="1"/>
    <xf numFmtId="0" fontId="0" fillId="0" borderId="21" xfId="0" applyBorder="1"/>
    <xf numFmtId="0" fontId="0" fillId="0" borderId="23" xfId="0" applyBorder="1"/>
    <xf numFmtId="0" fontId="0" fillId="7" borderId="22" xfId="0" applyFill="1" applyBorder="1"/>
    <xf numFmtId="165" fontId="0" fillId="7" borderId="22" xfId="0" applyNumberFormat="1" applyFill="1" applyBorder="1"/>
    <xf numFmtId="0" fontId="0" fillId="0" borderId="22" xfId="0" applyBorder="1"/>
    <xf numFmtId="0" fontId="3" fillId="6" borderId="18" xfId="0" applyFont="1" applyFill="1" applyBorder="1" applyAlignment="1">
      <alignment wrapText="1"/>
    </xf>
    <xf numFmtId="0" fontId="0" fillId="2" borderId="11" xfId="0" applyFill="1" applyBorder="1"/>
    <xf numFmtId="0" fontId="3" fillId="6" borderId="18" xfId="0" applyFont="1" applyFill="1" applyBorder="1"/>
    <xf numFmtId="0" fontId="3" fillId="6" borderId="13" xfId="0" applyFont="1" applyFill="1" applyBorder="1" applyAlignment="1">
      <alignment wrapText="1"/>
    </xf>
    <xf numFmtId="0" fontId="3" fillId="6" borderId="13" xfId="0" applyFont="1" applyFill="1" applyBorder="1"/>
    <xf numFmtId="0" fontId="3" fillId="6" borderId="21" xfId="0" applyFont="1" applyFill="1" applyBorder="1" applyAlignment="1">
      <alignment wrapText="1"/>
    </xf>
    <xf numFmtId="0" fontId="3" fillId="6" borderId="22" xfId="0" applyFont="1" applyFill="1" applyBorder="1" applyAlignment="1">
      <alignment wrapText="1"/>
    </xf>
    <xf numFmtId="165" fontId="0" fillId="4" borderId="10" xfId="0" applyNumberFormat="1" applyFill="1" applyBorder="1"/>
    <xf numFmtId="0" fontId="0" fillId="4" borderId="19" xfId="0" applyFill="1" applyBorder="1" applyAlignment="1">
      <alignment horizontal="center"/>
    </xf>
    <xf numFmtId="0" fontId="2" fillId="0" borderId="22" xfId="0" applyFont="1" applyBorder="1"/>
    <xf numFmtId="0" fontId="3" fillId="6" borderId="0" xfId="0" applyFont="1" applyFill="1" applyAlignment="1">
      <alignment wrapText="1"/>
    </xf>
    <xf numFmtId="0" fontId="3" fillId="6" borderId="12" xfId="0" applyFont="1" applyFill="1" applyBorder="1" applyAlignment="1">
      <alignment wrapText="1"/>
    </xf>
    <xf numFmtId="0" fontId="3" fillId="6" borderId="14" xfId="0" applyFont="1" applyFill="1" applyBorder="1" applyAlignment="1">
      <alignment wrapText="1"/>
    </xf>
    <xf numFmtId="0" fontId="0" fillId="4" borderId="20" xfId="0" applyFill="1" applyBorder="1" applyAlignment="1">
      <alignment horizontal="center"/>
    </xf>
    <xf numFmtId="10" fontId="1" fillId="4" borderId="12" xfId="0" applyNumberFormat="1" applyFont="1" applyFill="1" applyBorder="1"/>
    <xf numFmtId="0" fontId="2" fillId="0" borderId="11" xfId="0" applyFont="1" applyBorder="1"/>
    <xf numFmtId="0" fontId="3" fillId="6" borderId="14" xfId="0" applyFont="1" applyFill="1" applyBorder="1"/>
    <xf numFmtId="0" fontId="3" fillId="6" borderId="19" xfId="0" applyFont="1" applyFill="1" applyBorder="1" applyAlignment="1">
      <alignment wrapText="1"/>
    </xf>
    <xf numFmtId="0" fontId="0" fillId="2" borderId="2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165" fontId="1" fillId="3" borderId="23" xfId="0" applyNumberFormat="1" applyFont="1" applyFill="1" applyBorder="1"/>
    <xf numFmtId="10" fontId="1" fillId="3" borderId="23" xfId="0" applyNumberFormat="1" applyFont="1" applyFill="1" applyBorder="1"/>
    <xf numFmtId="165" fontId="1" fillId="3" borderId="12" xfId="0" applyNumberFormat="1" applyFont="1" applyFill="1" applyBorder="1"/>
    <xf numFmtId="10" fontId="1" fillId="3" borderId="0" xfId="0" applyNumberFormat="1" applyFont="1" applyFill="1"/>
    <xf numFmtId="10" fontId="1" fillId="3" borderId="12" xfId="0" applyNumberFormat="1" applyFont="1" applyFill="1" applyBorder="1"/>
    <xf numFmtId="165" fontId="1" fillId="3" borderId="0" xfId="0" applyNumberFormat="1" applyFont="1" applyFill="1"/>
    <xf numFmtId="10" fontId="1" fillId="3" borderId="18" xfId="0" applyNumberFormat="1" applyFont="1" applyFill="1" applyBorder="1"/>
    <xf numFmtId="165" fontId="1" fillId="3" borderId="22" xfId="0" applyNumberFormat="1" applyFont="1" applyFill="1" applyBorder="1"/>
    <xf numFmtId="10" fontId="1" fillId="3" borderId="13" xfId="0" applyNumberFormat="1" applyFont="1" applyFill="1" applyBorder="1"/>
    <xf numFmtId="165" fontId="1" fillId="3" borderId="16" xfId="0" applyNumberFormat="1" applyFont="1" applyFill="1" applyBorder="1"/>
    <xf numFmtId="10" fontId="1" fillId="3" borderId="16" xfId="0" applyNumberFormat="1" applyFont="1" applyFill="1" applyBorder="1"/>
    <xf numFmtId="0" fontId="0" fillId="4" borderId="21" xfId="0" applyFill="1" applyBorder="1" applyAlignment="1">
      <alignment horizontal="center"/>
    </xf>
    <xf numFmtId="165" fontId="0" fillId="4" borderId="22" xfId="0" applyNumberFormat="1" applyFill="1" applyBorder="1"/>
    <xf numFmtId="165" fontId="1" fillId="4" borderId="22" xfId="0" applyNumberFormat="1" applyFont="1" applyFill="1" applyBorder="1"/>
    <xf numFmtId="10" fontId="1" fillId="4" borderId="23" xfId="0" applyNumberFormat="1" applyFont="1" applyFill="1" applyBorder="1"/>
    <xf numFmtId="0" fontId="9" fillId="0" borderId="0" xfId="0" applyFont="1"/>
    <xf numFmtId="0" fontId="0" fillId="2" borderId="15" xfId="0" quotePrefix="1" applyFill="1" applyBorder="1"/>
    <xf numFmtId="0" fontId="0" fillId="2" borderId="13" xfId="0" quotePrefix="1" applyFill="1" applyBorder="1"/>
    <xf numFmtId="0" fontId="4" fillId="6" borderId="14" xfId="0" applyFont="1" applyFill="1" applyBorder="1" applyAlignment="1">
      <alignment horizontal="center" wrapText="1"/>
    </xf>
    <xf numFmtId="165" fontId="0" fillId="8" borderId="21" xfId="0" applyNumberFormat="1" applyFill="1" applyBorder="1"/>
    <xf numFmtId="165" fontId="0" fillId="4" borderId="17" xfId="0" applyNumberFormat="1" applyFill="1" applyBorder="1"/>
    <xf numFmtId="165" fontId="0" fillId="4" borderId="15" xfId="0" applyNumberFormat="1" applyFill="1" applyBorder="1"/>
    <xf numFmtId="2" fontId="0" fillId="2" borderId="23" xfId="0" applyNumberFormat="1" applyFill="1" applyBorder="1"/>
    <xf numFmtId="0" fontId="4" fillId="6" borderId="22" xfId="0" applyFont="1" applyFill="1" applyBorder="1" applyAlignment="1">
      <alignment horizontal="center" wrapText="1"/>
    </xf>
    <xf numFmtId="2" fontId="0" fillId="2" borderId="12" xfId="0" applyNumberFormat="1" applyFill="1" applyBorder="1"/>
    <xf numFmtId="0" fontId="4" fillId="6" borderId="34" xfId="0" applyFont="1" applyFill="1" applyBorder="1" applyAlignment="1">
      <alignment horizontal="center" wrapText="1"/>
    </xf>
    <xf numFmtId="165" fontId="0" fillId="7" borderId="35" xfId="0" applyNumberFormat="1" applyFill="1" applyBorder="1"/>
    <xf numFmtId="165" fontId="0" fillId="7" borderId="34" xfId="0" applyNumberFormat="1" applyFill="1" applyBorder="1"/>
    <xf numFmtId="165" fontId="0" fillId="7" borderId="36" xfId="0" applyNumberFormat="1" applyFill="1" applyBorder="1"/>
    <xf numFmtId="165" fontId="0" fillId="7" borderId="37" xfId="0" applyNumberFormat="1" applyFill="1" applyBorder="1"/>
    <xf numFmtId="10" fontId="0" fillId="8" borderId="14" xfId="0" applyNumberFormat="1" applyFill="1" applyBorder="1"/>
    <xf numFmtId="10" fontId="0" fillId="8" borderId="23" xfId="0" applyNumberFormat="1" applyFill="1" applyBorder="1"/>
    <xf numFmtId="10" fontId="0" fillId="8" borderId="35" xfId="0" applyNumberFormat="1" applyFill="1" applyBorder="1"/>
    <xf numFmtId="10" fontId="0" fillId="8" borderId="34" xfId="0" applyNumberFormat="1" applyFill="1" applyBorder="1"/>
    <xf numFmtId="165" fontId="0" fillId="8" borderId="14" xfId="0" applyNumberFormat="1" applyFill="1" applyBorder="1"/>
    <xf numFmtId="165" fontId="0" fillId="7" borderId="38" xfId="0" applyNumberFormat="1" applyFill="1" applyBorder="1"/>
    <xf numFmtId="165" fontId="0" fillId="7" borderId="14" xfId="0" applyNumberFormat="1" applyFill="1" applyBorder="1"/>
    <xf numFmtId="0" fontId="4" fillId="6" borderId="35" xfId="0" applyFont="1" applyFill="1" applyBorder="1" applyAlignment="1">
      <alignment horizontal="center" wrapText="1"/>
    </xf>
    <xf numFmtId="165" fontId="0" fillId="8" borderId="34" xfId="0" applyNumberFormat="1" applyFill="1" applyBorder="1"/>
    <xf numFmtId="165" fontId="0" fillId="8" borderId="36" xfId="0" applyNumberFormat="1" applyFill="1" applyBorder="1"/>
    <xf numFmtId="165" fontId="0" fillId="8" borderId="38" xfId="0" applyNumberFormat="1" applyFill="1" applyBorder="1"/>
    <xf numFmtId="165" fontId="0" fillId="7" borderId="39" xfId="0" applyNumberFormat="1" applyFill="1" applyBorder="1"/>
    <xf numFmtId="0" fontId="0" fillId="0" borderId="39" xfId="0" applyBorder="1"/>
    <xf numFmtId="165" fontId="0" fillId="8" borderId="35" xfId="0" applyNumberFormat="1" applyFill="1" applyBorder="1"/>
    <xf numFmtId="0" fontId="0" fillId="2" borderId="35" xfId="0" applyFill="1" applyBorder="1"/>
    <xf numFmtId="0" fontId="0" fillId="2" borderId="34" xfId="0" quotePrefix="1" applyFill="1" applyBorder="1"/>
    <xf numFmtId="0" fontId="0" fillId="0" borderId="33" xfId="0" applyBorder="1"/>
    <xf numFmtId="0" fontId="4" fillId="5" borderId="15" xfId="0" quotePrefix="1" applyFont="1" applyFill="1" applyBorder="1"/>
    <xf numFmtId="0" fontId="4" fillId="5" borderId="34" xfId="0" quotePrefix="1" applyFont="1" applyFill="1" applyBorder="1"/>
    <xf numFmtId="0" fontId="0" fillId="2" borderId="22" xfId="0" applyFill="1" applyBorder="1" applyAlignment="1">
      <alignment horizontal="center"/>
    </xf>
    <xf numFmtId="0" fontId="4" fillId="6" borderId="13" xfId="0" applyFont="1" applyFill="1" applyBorder="1"/>
    <xf numFmtId="0" fontId="4" fillId="6" borderId="23" xfId="0" applyFont="1" applyFill="1" applyBorder="1"/>
    <xf numFmtId="164" fontId="0" fillId="10" borderId="12" xfId="1" applyFont="1" applyFill="1" applyBorder="1"/>
    <xf numFmtId="164" fontId="0" fillId="10" borderId="24" xfId="1" applyFont="1" applyFill="1" applyBorder="1"/>
    <xf numFmtId="164" fontId="0" fillId="10" borderId="23" xfId="1" applyFont="1" applyFill="1" applyBorder="1"/>
    <xf numFmtId="164" fontId="0" fillId="10" borderId="13" xfId="1" applyFont="1" applyFill="1" applyBorder="1"/>
    <xf numFmtId="0" fontId="0" fillId="0" borderId="12" xfId="0" applyBorder="1" applyAlignment="1">
      <alignment horizontal="right"/>
    </xf>
    <xf numFmtId="9" fontId="0" fillId="2" borderId="11" xfId="2" applyFont="1" applyFill="1" applyBorder="1"/>
    <xf numFmtId="0" fontId="0" fillId="0" borderId="19" xfId="0" applyBorder="1"/>
    <xf numFmtId="0" fontId="0" fillId="0" borderId="10" xfId="0" applyBorder="1"/>
    <xf numFmtId="0" fontId="2" fillId="0" borderId="17" xfId="0" applyFont="1" applyBorder="1"/>
    <xf numFmtId="9" fontId="0" fillId="2" borderId="16" xfId="2" applyFont="1" applyFill="1" applyBorder="1"/>
    <xf numFmtId="9" fontId="0" fillId="7" borderId="13" xfId="2" applyFont="1" applyFill="1" applyBorder="1"/>
    <xf numFmtId="10" fontId="1" fillId="3" borderId="22" xfId="0" applyNumberFormat="1" applyFont="1" applyFill="1" applyBorder="1"/>
    <xf numFmtId="165" fontId="1" fillId="3" borderId="13" xfId="0" applyNumberFormat="1" applyFont="1" applyFill="1" applyBorder="1"/>
    <xf numFmtId="165" fontId="0" fillId="3" borderId="13" xfId="0" applyNumberFormat="1" applyFill="1" applyBorder="1"/>
    <xf numFmtId="165" fontId="0" fillId="4" borderId="12" xfId="0" applyNumberFormat="1" applyFill="1" applyBorder="1"/>
    <xf numFmtId="10" fontId="0" fillId="3" borderId="22" xfId="2" applyNumberFormat="1" applyFont="1" applyFill="1" applyBorder="1"/>
    <xf numFmtId="10" fontId="0" fillId="3" borderId="23" xfId="2" applyNumberFormat="1" applyFont="1" applyFill="1" applyBorder="1"/>
    <xf numFmtId="0" fontId="3" fillId="6" borderId="21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6" borderId="14" xfId="0" applyFont="1" applyFill="1" applyBorder="1" applyAlignment="1">
      <alignment wrapText="1"/>
    </xf>
    <xf numFmtId="0" fontId="3" fillId="6" borderId="12" xfId="0" applyFont="1" applyFill="1" applyBorder="1" applyAlignment="1">
      <alignment wrapText="1"/>
    </xf>
    <xf numFmtId="0" fontId="3" fillId="6" borderId="35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0" fillId="0" borderId="53" xfId="0" applyBorder="1" applyAlignment="1">
      <alignment horizontal="right"/>
    </xf>
    <xf numFmtId="0" fontId="0" fillId="0" borderId="54" xfId="0" applyBorder="1" applyAlignment="1">
      <alignment horizontal="right"/>
    </xf>
    <xf numFmtId="9" fontId="0" fillId="2" borderId="22" xfId="2" applyFont="1" applyFill="1" applyBorder="1" applyAlignment="1">
      <alignment horizontal="center"/>
    </xf>
    <xf numFmtId="0" fontId="0" fillId="0" borderId="55" xfId="0" applyBorder="1" applyAlignment="1">
      <alignment horizontal="right"/>
    </xf>
    <xf numFmtId="0" fontId="0" fillId="0" borderId="56" xfId="0" applyBorder="1" applyAlignment="1">
      <alignment horizontal="right"/>
    </xf>
    <xf numFmtId="9" fontId="0" fillId="7" borderId="10" xfId="2" applyFont="1" applyFill="1" applyBorder="1" applyAlignment="1">
      <alignment horizontal="center"/>
    </xf>
    <xf numFmtId="0" fontId="3" fillId="6" borderId="49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164" fontId="3" fillId="8" borderId="10" xfId="1" applyFont="1" applyFill="1" applyBorder="1" applyAlignment="1">
      <alignment horizontal="center"/>
    </xf>
    <xf numFmtId="9" fontId="11" fillId="8" borderId="22" xfId="2" applyFont="1" applyFill="1" applyBorder="1" applyAlignment="1">
      <alignment horizontal="center"/>
    </xf>
    <xf numFmtId="0" fontId="0" fillId="0" borderId="51" xfId="0" applyBorder="1" applyAlignment="1">
      <alignment horizontal="right"/>
    </xf>
    <xf numFmtId="0" fontId="0" fillId="0" borderId="52" xfId="0" applyBorder="1" applyAlignment="1">
      <alignment horizontal="right"/>
    </xf>
    <xf numFmtId="0" fontId="2" fillId="2" borderId="50" xfId="0" applyFont="1" applyFill="1" applyBorder="1" applyAlignment="1">
      <alignment horizontal="center"/>
    </xf>
    <xf numFmtId="164" fontId="0" fillId="7" borderId="11" xfId="1" applyFont="1" applyFill="1" applyBorder="1" applyAlignment="1">
      <alignment horizontal="center"/>
    </xf>
    <xf numFmtId="164" fontId="0" fillId="7" borderId="22" xfId="1" applyFont="1" applyFill="1" applyBorder="1" applyAlignment="1">
      <alignment horizontal="center"/>
    </xf>
    <xf numFmtId="164" fontId="0" fillId="7" borderId="50" xfId="1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3" fillId="6" borderId="35" xfId="0" applyFont="1" applyFill="1" applyBorder="1"/>
    <xf numFmtId="0" fontId="3" fillId="6" borderId="36" xfId="0" applyFont="1" applyFill="1" applyBorder="1"/>
    <xf numFmtId="0" fontId="3" fillId="6" borderId="38" xfId="0" applyFont="1" applyFill="1" applyBorder="1" applyAlignment="1">
      <alignment horizontal="center"/>
    </xf>
    <xf numFmtId="0" fontId="4" fillId="6" borderId="0" xfId="0" applyFont="1" applyFill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3" fillId="6" borderId="40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6" borderId="18" xfId="0" applyFont="1" applyFill="1" applyBorder="1" applyAlignment="1">
      <alignment wrapText="1"/>
    </xf>
    <xf numFmtId="0" fontId="3" fillId="6" borderId="24" xfId="0" applyFont="1" applyFill="1" applyBorder="1" applyAlignment="1">
      <alignment wrapText="1"/>
    </xf>
    <xf numFmtId="0" fontId="3" fillId="6" borderId="40" xfId="0" applyFont="1" applyFill="1" applyBorder="1"/>
    <xf numFmtId="0" fontId="3" fillId="6" borderId="39" xfId="0" applyFont="1" applyFill="1" applyBorder="1"/>
    <xf numFmtId="0" fontId="0" fillId="9" borderId="18" xfId="0" applyFill="1" applyBorder="1" applyAlignment="1">
      <alignment horizontal="center" textRotation="90"/>
    </xf>
    <xf numFmtId="0" fontId="0" fillId="9" borderId="24" xfId="0" applyFill="1" applyBorder="1" applyAlignment="1">
      <alignment horizontal="center" textRotation="90"/>
    </xf>
    <xf numFmtId="0" fontId="0" fillId="9" borderId="16" xfId="0" applyFill="1" applyBorder="1" applyAlignment="1">
      <alignment horizontal="center" textRotation="90"/>
    </xf>
    <xf numFmtId="0" fontId="0" fillId="11" borderId="12" xfId="0" applyFill="1" applyBorder="1" applyAlignment="1">
      <alignment horizontal="center" textRotation="90" wrapText="1"/>
    </xf>
    <xf numFmtId="0" fontId="0" fillId="11" borderId="14" xfId="0" applyFill="1" applyBorder="1" applyAlignment="1">
      <alignment horizontal="center" vertical="center" textRotation="90" wrapText="1"/>
    </xf>
    <xf numFmtId="0" fontId="0" fillId="11" borderId="12" xfId="0" applyFill="1" applyBorder="1" applyAlignment="1">
      <alignment horizontal="center" vertical="center" textRotation="90" wrapText="1"/>
    </xf>
    <xf numFmtId="0" fontId="0" fillId="11" borderId="15" xfId="0" applyFill="1" applyBorder="1" applyAlignment="1">
      <alignment horizontal="center" vertical="center" textRotation="90" wrapText="1"/>
    </xf>
    <xf numFmtId="0" fontId="0" fillId="9" borderId="10" xfId="0" applyFill="1" applyBorder="1" applyAlignment="1">
      <alignment horizontal="center" vertical="center" textRotation="90"/>
    </xf>
    <xf numFmtId="0" fontId="0" fillId="9" borderId="0" xfId="0" applyFill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Percent" xfId="2" builtinId="5"/>
    <cellStyle name="SEA_H2" xfId="3" xr:uid="{5A67CE59-3E96-4356-A3CD-667331D54884}"/>
  </cellStyles>
  <dxfs count="0"/>
  <tableStyles count="0" defaultTableStyle="TableStyleMedium2" defaultPivotStyle="PivotStyleLight16"/>
  <colors>
    <mruColors>
      <color rgb="FF086788"/>
      <color rgb="FF07A0C3"/>
      <color rgb="FFB7DEE8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YEAR ON YEAR PERCENTAGE DIFFERENCE PER FLAT TARIFF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'Tariffs Inputs'!$N$13</c:f>
              <c:strCache>
                <c:ptCount val="1"/>
                <c:pt idx="0">
                  <c:v>Basic/Fixed Charge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Inputs'!$D$14:$D$26</c:f>
              <c:strCache>
                <c:ptCount val="13"/>
                <c:pt idx="0">
                  <c:v>Flat Tariff 1</c:v>
                </c:pt>
                <c:pt idx="1">
                  <c:v>Flat Tariff 2</c:v>
                </c:pt>
                <c:pt idx="2">
                  <c:v>Flat Tariff 3</c:v>
                </c:pt>
                <c:pt idx="3">
                  <c:v>Flat Tariff 4</c:v>
                </c:pt>
                <c:pt idx="4">
                  <c:v>Flat Tariff 5</c:v>
                </c:pt>
                <c:pt idx="5">
                  <c:v>Flat Tariff 6</c:v>
                </c:pt>
                <c:pt idx="6">
                  <c:v>Flat Tariff 7</c:v>
                </c:pt>
                <c:pt idx="7">
                  <c:v>Flat Tariff 8</c:v>
                </c:pt>
                <c:pt idx="8">
                  <c:v>Flat Tariff 9</c:v>
                </c:pt>
                <c:pt idx="9">
                  <c:v>Flat Tariff 10</c:v>
                </c:pt>
                <c:pt idx="10">
                  <c:v>Flat Tariff 11</c:v>
                </c:pt>
                <c:pt idx="11">
                  <c:v>Flat Tariff 12</c:v>
                </c:pt>
                <c:pt idx="12">
                  <c:v>Flat Tariff 13</c:v>
                </c:pt>
              </c:strCache>
            </c:strRef>
          </c:cat>
          <c:val>
            <c:numRef>
              <c:f>'Tariffs Inputs'!$N$14:$N$26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-2.5967613756469853E-2</c:v>
                </c:pt>
                <c:pt idx="6">
                  <c:v>8.3333333333333329E-2</c:v>
                </c:pt>
                <c:pt idx="7">
                  <c:v>1.2931034482758621E-2</c:v>
                </c:pt>
                <c:pt idx="8">
                  <c:v>-8.4179514249307474E-2</c:v>
                </c:pt>
                <c:pt idx="9">
                  <c:v>8.3333333333333329E-2</c:v>
                </c:pt>
                <c:pt idx="10">
                  <c:v>4.8075217314174204E-2</c:v>
                </c:pt>
                <c:pt idx="11">
                  <c:v>0.115995115995116</c:v>
                </c:pt>
                <c:pt idx="12">
                  <c:v>2.6187803965581741E-3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1-4292-B0C4-21FB756098AD}"/>
            </c:ext>
          </c:extLst>
        </c:ser>
        <c:ser>
          <c:idx val="1"/>
          <c:order val="1"/>
          <c:tx>
            <c:strRef>
              <c:f>'Tariffs Inputs'!$O$13</c:f>
              <c:strCache>
                <c:ptCount val="1"/>
                <c:pt idx="0">
                  <c:v>Demand Charge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Inputs'!$D$14:$D$26</c:f>
              <c:strCache>
                <c:ptCount val="13"/>
                <c:pt idx="0">
                  <c:v>Flat Tariff 1</c:v>
                </c:pt>
                <c:pt idx="1">
                  <c:v>Flat Tariff 2</c:v>
                </c:pt>
                <c:pt idx="2">
                  <c:v>Flat Tariff 3</c:v>
                </c:pt>
                <c:pt idx="3">
                  <c:v>Flat Tariff 4</c:v>
                </c:pt>
                <c:pt idx="4">
                  <c:v>Flat Tariff 5</c:v>
                </c:pt>
                <c:pt idx="5">
                  <c:v>Flat Tariff 6</c:v>
                </c:pt>
                <c:pt idx="6">
                  <c:v>Flat Tariff 7</c:v>
                </c:pt>
                <c:pt idx="7">
                  <c:v>Flat Tariff 8</c:v>
                </c:pt>
                <c:pt idx="8">
                  <c:v>Flat Tariff 9</c:v>
                </c:pt>
                <c:pt idx="9">
                  <c:v>Flat Tariff 10</c:v>
                </c:pt>
                <c:pt idx="10">
                  <c:v>Flat Tariff 11</c:v>
                </c:pt>
                <c:pt idx="11">
                  <c:v>Flat Tariff 12</c:v>
                </c:pt>
                <c:pt idx="12">
                  <c:v>Flat Tariff 13</c:v>
                </c:pt>
              </c:strCache>
            </c:strRef>
          </c:cat>
          <c:val>
            <c:numRef>
              <c:f>'Tariffs Inputs'!$O$14:$O$26</c:f>
              <c:numCache>
                <c:formatCode>0.00%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9.7560975609756101E-2</c:v>
                </c:pt>
                <c:pt idx="8">
                  <c:v>-0.15730337078651685</c:v>
                </c:pt>
                <c:pt idx="9">
                  <c:v>-2.9850746268656716E-2</c:v>
                </c:pt>
                <c:pt idx="10">
                  <c:v>6.4864864864864868E-2</c:v>
                </c:pt>
                <c:pt idx="11">
                  <c:v>-0.11242603550295859</c:v>
                </c:pt>
                <c:pt idx="12">
                  <c:v>9.3959731543624164E-2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1-4292-B0C4-21FB756098AD}"/>
            </c:ext>
          </c:extLst>
        </c:ser>
        <c:ser>
          <c:idx val="2"/>
          <c:order val="2"/>
          <c:tx>
            <c:strRef>
              <c:f>'Tariffs Inputs'!$P$13</c:f>
              <c:strCache>
                <c:ptCount val="1"/>
                <c:pt idx="0">
                  <c:v>Energy Charge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Inputs'!$D$14:$D$26</c:f>
              <c:strCache>
                <c:ptCount val="13"/>
                <c:pt idx="0">
                  <c:v>Flat Tariff 1</c:v>
                </c:pt>
                <c:pt idx="1">
                  <c:v>Flat Tariff 2</c:v>
                </c:pt>
                <c:pt idx="2">
                  <c:v>Flat Tariff 3</c:v>
                </c:pt>
                <c:pt idx="3">
                  <c:v>Flat Tariff 4</c:v>
                </c:pt>
                <c:pt idx="4">
                  <c:v>Flat Tariff 5</c:v>
                </c:pt>
                <c:pt idx="5">
                  <c:v>Flat Tariff 6</c:v>
                </c:pt>
                <c:pt idx="6">
                  <c:v>Flat Tariff 7</c:v>
                </c:pt>
                <c:pt idx="7">
                  <c:v>Flat Tariff 8</c:v>
                </c:pt>
                <c:pt idx="8">
                  <c:v>Flat Tariff 9</c:v>
                </c:pt>
                <c:pt idx="9">
                  <c:v>Flat Tariff 10</c:v>
                </c:pt>
                <c:pt idx="10">
                  <c:v>Flat Tariff 11</c:v>
                </c:pt>
                <c:pt idx="11">
                  <c:v>Flat Tariff 12</c:v>
                </c:pt>
                <c:pt idx="12">
                  <c:v>Flat Tariff 13</c:v>
                </c:pt>
              </c:strCache>
            </c:strRef>
          </c:cat>
          <c:val>
            <c:numRef>
              <c:f>'Tariffs Inputs'!$P$14:$P$26</c:f>
              <c:numCache>
                <c:formatCode>0.00%</c:formatCode>
                <c:ptCount val="13"/>
                <c:pt idx="0">
                  <c:v>-2.3076923076923096E-2</c:v>
                </c:pt>
                <c:pt idx="1">
                  <c:v>1.8181818181818118E-2</c:v>
                </c:pt>
                <c:pt idx="2">
                  <c:v>-1.2820512820512775E-2</c:v>
                </c:pt>
                <c:pt idx="3">
                  <c:v>-9.9009900990099098E-3</c:v>
                </c:pt>
                <c:pt idx="4">
                  <c:v>3.7410912155046258E-2</c:v>
                </c:pt>
                <c:pt idx="5">
                  <c:v>8.4453183837432999E-2</c:v>
                </c:pt>
                <c:pt idx="6">
                  <c:v>4.6153846153846191E-2</c:v>
                </c:pt>
                <c:pt idx="7">
                  <c:v>0.10508063713512675</c:v>
                </c:pt>
                <c:pt idx="8">
                  <c:v>6.2299974287793707E-2</c:v>
                </c:pt>
                <c:pt idx="9">
                  <c:v>0.11818181818181807</c:v>
                </c:pt>
                <c:pt idx="10">
                  <c:v>0.10508063713512675</c:v>
                </c:pt>
                <c:pt idx="11">
                  <c:v>7.5947417240072668E-3</c:v>
                </c:pt>
                <c:pt idx="12">
                  <c:v>8.0000000000000071E-2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1-4292-B0C4-21FB756098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32618463"/>
        <c:axId val="632611263"/>
      </c:barChart>
      <c:catAx>
        <c:axId val="6326184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Tariff 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2611263"/>
        <c:crosses val="autoZero"/>
        <c:auto val="1"/>
        <c:lblAlgn val="ctr"/>
        <c:lblOffset val="100"/>
        <c:noMultiLvlLbl val="0"/>
      </c:catAx>
      <c:valAx>
        <c:axId val="632611263"/>
        <c:scaling>
          <c:orientation val="minMax"/>
        </c:scaling>
        <c:delete val="1"/>
        <c:axPos val="l"/>
        <c:title>
          <c:tx>
            <c:strRef>
              <c:f>'Tariffs Inputs'!$N$12</c:f>
              <c:strCache>
                <c:ptCount val="1"/>
                <c:pt idx="0">
                  <c:v>Tariff Percentage Increase /Decrease</c:v>
                </c:pt>
              </c:strCache>
            </c:strRef>
          </c:tx>
          <c:layout>
            <c:manualLayout>
              <c:xMode val="edge"/>
              <c:yMode val="edge"/>
              <c:x val="8.0805390080067319E-3"/>
              <c:y val="0.219166058637208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632618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'Domestic FlatTariff comparison '!$C$11</c:f>
          <c:strCache>
            <c:ptCount val="1"/>
            <c:pt idx="0">
              <c:v>D Flat Tariff 4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'Domestic FlatTariff comparison '!$B$14:$B$18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'Domestic FlatTariff comparison '!$K$14:$K$18</c:f>
              <c:numCache>
                <c:formatCode>"R"#,##0.00</c:formatCode>
                <c:ptCount val="5"/>
                <c:pt idx="0">
                  <c:v>41</c:v>
                </c:pt>
                <c:pt idx="1">
                  <c:v>37</c:v>
                </c:pt>
                <c:pt idx="2">
                  <c:v>33</c:v>
                </c:pt>
                <c:pt idx="3">
                  <c:v>29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060-BE1A-67682F5A60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55308127"/>
        <c:axId val="1355311007"/>
      </c:barChart>
      <c:catAx>
        <c:axId val="135530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10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311007"/>
        <c:crosses val="autoZero"/>
        <c:auto val="1"/>
        <c:lblAlgn val="ctr"/>
        <c:lblOffset val="100"/>
        <c:noMultiLvlLbl val="0"/>
      </c:catAx>
      <c:valAx>
        <c:axId val="1355311007"/>
        <c:scaling>
          <c:orientation val="minMax"/>
        </c:scaling>
        <c:delete val="1"/>
        <c:axPos val="l"/>
        <c:title>
          <c:tx>
            <c:strRef>
              <c:f>'Domestic FlatTariff comparison '!$K$12:$K$13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355308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'Domestic FlatTariff comparison '!$C$21</c:f>
          <c:strCache>
            <c:ptCount val="1"/>
            <c:pt idx="0">
              <c:v>A Flat Tariff 1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'Domestic FlatTariff comparison '!$B$24:$B$28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cat>
          <c:val>
            <c:numRef>
              <c:f>'Domestic FlatTariff comparison '!$K$24:$K$28</c:f>
              <c:numCache>
                <c:formatCode>"R"#,##0.00</c:formatCode>
                <c:ptCount val="5"/>
                <c:pt idx="0">
                  <c:v>-6</c:v>
                </c:pt>
                <c:pt idx="1">
                  <c:v>-9</c:v>
                </c:pt>
                <c:pt idx="2">
                  <c:v>-12</c:v>
                </c:pt>
                <c:pt idx="3">
                  <c:v>-15</c:v>
                </c:pt>
                <c:pt idx="4">
                  <c:v>-18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D-4B40-B32B-FD758EE2DB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5612703"/>
        <c:axId val="545610303"/>
      </c:barChart>
      <c:catAx>
        <c:axId val="545612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610303"/>
        <c:crosses val="autoZero"/>
        <c:auto val="1"/>
        <c:lblAlgn val="ctr"/>
        <c:lblOffset val="100"/>
        <c:noMultiLvlLbl val="0"/>
      </c:catAx>
      <c:valAx>
        <c:axId val="545610303"/>
        <c:scaling>
          <c:orientation val="minMax"/>
        </c:scaling>
        <c:delete val="1"/>
        <c:axPos val="l"/>
        <c:title>
          <c:tx>
            <c:strRef>
              <c:f>'Domestic FlatTariff comparison '!$K$22:$K$23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54561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'Domestic FlatTariff comparison '!$C$31</c:f>
          <c:strCache>
            <c:ptCount val="1"/>
            <c:pt idx="0">
              <c:v>B Flat Tariff 2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'Domestic FlatTariff comparison '!$B$34:$B$38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cat>
          <c:val>
            <c:numRef>
              <c:f>'Domestic FlatTariff comparison '!$K$34:$K$38</c:f>
              <c:numCache>
                <c:formatCode>"R"#,##0.00</c:formatCode>
                <c:ptCount val="5"/>
                <c:pt idx="0">
                  <c:v>5</c:v>
                </c:pt>
                <c:pt idx="1">
                  <c:v>7.5</c:v>
                </c:pt>
                <c:pt idx="2">
                  <c:v>10</c:v>
                </c:pt>
                <c:pt idx="3">
                  <c:v>12.5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4-461B-82CE-1CEA3E42C7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55416127"/>
        <c:axId val="1355417087"/>
      </c:barChart>
      <c:catAx>
        <c:axId val="1355416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17087"/>
        <c:crosses val="autoZero"/>
        <c:auto val="1"/>
        <c:lblAlgn val="ctr"/>
        <c:lblOffset val="100"/>
        <c:noMultiLvlLbl val="0"/>
      </c:catAx>
      <c:valAx>
        <c:axId val="1355417087"/>
        <c:scaling>
          <c:orientation val="minMax"/>
        </c:scaling>
        <c:delete val="1"/>
        <c:axPos val="l"/>
        <c:title>
          <c:tx>
            <c:strRef>
              <c:f>'Domestic FlatTariff comparison '!$K$32:$K$33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355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'SPU Flat Tariff comparison'!$C$1</c:f>
          <c:strCache>
            <c:ptCount val="1"/>
            <c:pt idx="0">
              <c:v>E Flat Tariff 5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'SPU Flat Tariff comparison'!$B$4:$B$10</c:f>
              <c:numCache>
                <c:formatCode>General</c:formatCode>
                <c:ptCount val="7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3000</c:v>
                </c:pt>
                <c:pt idx="5">
                  <c:v>5000</c:v>
                </c:pt>
                <c:pt idx="6">
                  <c:v>8000</c:v>
                </c:pt>
              </c:numCache>
            </c:numRef>
          </c:cat>
          <c:val>
            <c:numRef>
              <c:f>'SPU Flat Tariff comparison'!$L$4:$L$10</c:f>
              <c:numCache>
                <c:formatCode>0.00%</c:formatCode>
                <c:ptCount val="7"/>
                <c:pt idx="0">
                  <c:v>3.7410912155046265E-2</c:v>
                </c:pt>
                <c:pt idx="1">
                  <c:v>3.7410912155046175E-2</c:v>
                </c:pt>
                <c:pt idx="2">
                  <c:v>3.7410912155046223E-2</c:v>
                </c:pt>
                <c:pt idx="3">
                  <c:v>3.7410912155046203E-2</c:v>
                </c:pt>
                <c:pt idx="4">
                  <c:v>3.7410912155046265E-2</c:v>
                </c:pt>
                <c:pt idx="5">
                  <c:v>3.7410912155046237E-2</c:v>
                </c:pt>
                <c:pt idx="6">
                  <c:v>3.7410912155046203E-2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B-4212-86EF-A255A99664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23849407"/>
        <c:axId val="523851327"/>
      </c:barChart>
      <c:catAx>
        <c:axId val="523849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3851327"/>
        <c:crosses val="autoZero"/>
        <c:auto val="1"/>
        <c:lblAlgn val="ctr"/>
        <c:lblOffset val="100"/>
        <c:noMultiLvlLbl val="0"/>
      </c:catAx>
      <c:valAx>
        <c:axId val="523851327"/>
        <c:scaling>
          <c:orientation val="minMax"/>
        </c:scaling>
        <c:delete val="1"/>
        <c:axPos val="l"/>
        <c:title>
          <c:tx>
            <c:strRef>
              <c:f>'SPU Flat Tariff comparison'!$L$2:$L$3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23849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'SPU Flat Tariff comparison'!$C$12</c:f>
          <c:strCache>
            <c:ptCount val="1"/>
            <c:pt idx="0">
              <c:v>F Flat Tariff 6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'SPU Flat Tariff comparison'!$B$15:$B$21</c:f>
              <c:numCache>
                <c:formatCode>General</c:formatCode>
                <c:ptCount val="7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3000</c:v>
                </c:pt>
                <c:pt idx="5">
                  <c:v>5000</c:v>
                </c:pt>
                <c:pt idx="6">
                  <c:v>8000</c:v>
                </c:pt>
              </c:numCache>
            </c:numRef>
          </c:cat>
          <c:val>
            <c:numRef>
              <c:f>'SPU Flat Tariff comparison'!$L$15:$L$21</c:f>
              <c:numCache>
                <c:formatCode>0.00%</c:formatCode>
                <c:ptCount val="7"/>
                <c:pt idx="0">
                  <c:v>4.5790996381061946E-2</c:v>
                </c:pt>
                <c:pt idx="1">
                  <c:v>4.9569298945152301E-2</c:v>
                </c:pt>
                <c:pt idx="2">
                  <c:v>5.2674867982418411E-2</c:v>
                </c:pt>
                <c:pt idx="3">
                  <c:v>5.7477870713697497E-2</c:v>
                </c:pt>
                <c:pt idx="4">
                  <c:v>7.3712075994465234E-2</c:v>
                </c:pt>
                <c:pt idx="5">
                  <c:v>7.7747606963202584E-2</c:v>
                </c:pt>
                <c:pt idx="6">
                  <c:v>8.0164533696251275E-2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8-40FB-BFE7-E6A09CB4937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33993423"/>
        <c:axId val="533981423"/>
      </c:barChart>
      <c:catAx>
        <c:axId val="533993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81423"/>
        <c:crosses val="autoZero"/>
        <c:auto val="1"/>
        <c:lblAlgn val="ctr"/>
        <c:lblOffset val="100"/>
        <c:noMultiLvlLbl val="0"/>
      </c:catAx>
      <c:valAx>
        <c:axId val="533981423"/>
        <c:scaling>
          <c:orientation val="minMax"/>
        </c:scaling>
        <c:delete val="1"/>
        <c:axPos val="l"/>
        <c:title>
          <c:tx>
            <c:strRef>
              <c:f>'SPU Flat Tariff comparison'!$L$13:$L$14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3399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'SPU Flat Tariff comparison'!$C$23</c:f>
          <c:strCache>
            <c:ptCount val="1"/>
            <c:pt idx="0">
              <c:v>G Flat Tariff 7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'SPU Flat Tariff comparison'!$B$26:$B$32</c:f>
              <c:numCache>
                <c:formatCode>General</c:formatCode>
                <c:ptCount val="7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3000</c:v>
                </c:pt>
                <c:pt idx="5">
                  <c:v>5000</c:v>
                </c:pt>
                <c:pt idx="6">
                  <c:v>8000</c:v>
                </c:pt>
              </c:numCache>
            </c:numRef>
          </c:cat>
          <c:val>
            <c:numRef>
              <c:f>'SPU Flat Tariff comparison'!$L$26:$L$32</c:f>
              <c:numCache>
                <c:formatCode>0.00%</c:formatCode>
                <c:ptCount val="7"/>
                <c:pt idx="0">
                  <c:v>6.2318840579710148E-2</c:v>
                </c:pt>
                <c:pt idx="1">
                  <c:v>6.0927152317880796E-2</c:v>
                </c:pt>
                <c:pt idx="2">
                  <c:v>5.9756097560975607E-2</c:v>
                </c:pt>
                <c:pt idx="3">
                  <c:v>5.7894736842105263E-2</c:v>
                </c:pt>
                <c:pt idx="4">
                  <c:v>5.1111111111111114E-2</c:v>
                </c:pt>
                <c:pt idx="5">
                  <c:v>4.9295774647887453E-2</c:v>
                </c:pt>
                <c:pt idx="6">
                  <c:v>4.818181818181818E-2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7-4852-925A-D7501483F2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42981183"/>
        <c:axId val="1342987423"/>
      </c:barChart>
      <c:catAx>
        <c:axId val="1342981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2987423"/>
        <c:crosses val="autoZero"/>
        <c:auto val="1"/>
        <c:lblAlgn val="ctr"/>
        <c:lblOffset val="100"/>
        <c:noMultiLvlLbl val="0"/>
      </c:catAx>
      <c:valAx>
        <c:axId val="1342987423"/>
        <c:scaling>
          <c:orientation val="minMax"/>
        </c:scaling>
        <c:delete val="1"/>
        <c:axPos val="l"/>
        <c:title>
          <c:tx>
            <c:strRef>
              <c:f>'SPU Flat Tariff comparison'!$L$24:$L$25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342981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'SPU Flat Tariff comparison'!$C$1</c:f>
          <c:strCache>
            <c:ptCount val="1"/>
            <c:pt idx="0">
              <c:v>E Flat Tariff 5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'SPU Flat Tariff comparison'!$B$4:$B$10</c:f>
              <c:numCache>
                <c:formatCode>General</c:formatCode>
                <c:ptCount val="7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3000</c:v>
                </c:pt>
                <c:pt idx="5">
                  <c:v>5000</c:v>
                </c:pt>
                <c:pt idx="6">
                  <c:v>8000</c:v>
                </c:pt>
              </c:numCache>
            </c:numRef>
          </c:cat>
          <c:val>
            <c:numRef>
              <c:f>'SPU Flat Tariff comparison'!$K$4:$K$10</c:f>
              <c:numCache>
                <c:formatCode>"R"#,##0.00</c:formatCode>
                <c:ptCount val="7"/>
                <c:pt idx="0">
                  <c:v>107.74342700653324</c:v>
                </c:pt>
                <c:pt idx="1">
                  <c:v>125.70066484095514</c:v>
                </c:pt>
                <c:pt idx="2">
                  <c:v>143.6579026753775</c:v>
                </c:pt>
                <c:pt idx="3">
                  <c:v>179.57237834422176</c:v>
                </c:pt>
                <c:pt idx="4">
                  <c:v>538.71713503266619</c:v>
                </c:pt>
                <c:pt idx="5">
                  <c:v>897.86189172110971</c:v>
                </c:pt>
                <c:pt idx="6">
                  <c:v>1436.5790267537741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8-452F-A12F-187F3B8235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55417567"/>
        <c:axId val="1355403167"/>
      </c:barChart>
      <c:catAx>
        <c:axId val="1355417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403167"/>
        <c:crosses val="autoZero"/>
        <c:auto val="1"/>
        <c:lblAlgn val="ctr"/>
        <c:lblOffset val="100"/>
        <c:noMultiLvlLbl val="0"/>
      </c:catAx>
      <c:valAx>
        <c:axId val="1355403167"/>
        <c:scaling>
          <c:orientation val="minMax"/>
        </c:scaling>
        <c:delete val="1"/>
        <c:axPos val="l"/>
        <c:title>
          <c:tx>
            <c:strRef>
              <c:f>'SPU Flat Tariff comparison'!$K$2:$K$3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355417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'SPU Flat Tariff comparison'!$C$12</c:f>
          <c:strCache>
            <c:ptCount val="1"/>
            <c:pt idx="0">
              <c:v>F Flat Tariff 6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'SPU Flat Tariff comparison'!$B$15:$B$21</c:f>
              <c:numCache>
                <c:formatCode>General</c:formatCode>
                <c:ptCount val="7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3000</c:v>
                </c:pt>
                <c:pt idx="5">
                  <c:v>5000</c:v>
                </c:pt>
                <c:pt idx="6">
                  <c:v>8000</c:v>
                </c:pt>
              </c:numCache>
            </c:numRef>
          </c:cat>
          <c:val>
            <c:numRef>
              <c:f>'SPU Flat Tariff comparison'!$K$15:$K$21</c:f>
              <c:numCache>
                <c:formatCode>"R"#,##0.00</c:formatCode>
                <c:ptCount val="7"/>
                <c:pt idx="0">
                  <c:v>152.62139093807946</c:v>
                </c:pt>
                <c:pt idx="1">
                  <c:v>183.1089903033926</c:v>
                </c:pt>
                <c:pt idx="2">
                  <c:v>213.59658966870666</c:v>
                </c:pt>
                <c:pt idx="3">
                  <c:v>274.57178839933295</c:v>
                </c:pt>
                <c:pt idx="4">
                  <c:v>884.32377570559947</c:v>
                </c:pt>
                <c:pt idx="5">
                  <c:v>1494.0757630118642</c:v>
                </c:pt>
                <c:pt idx="6">
                  <c:v>2408.7037439712622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9D-4C4B-81D7-4F326DA8D8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46990719"/>
        <c:axId val="346995039"/>
      </c:barChart>
      <c:catAx>
        <c:axId val="3469907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995039"/>
        <c:crosses val="autoZero"/>
        <c:auto val="1"/>
        <c:lblAlgn val="ctr"/>
        <c:lblOffset val="100"/>
        <c:noMultiLvlLbl val="0"/>
      </c:catAx>
      <c:valAx>
        <c:axId val="346995039"/>
        <c:scaling>
          <c:orientation val="minMax"/>
        </c:scaling>
        <c:delete val="1"/>
        <c:axPos val="l"/>
        <c:title>
          <c:tx>
            <c:strRef>
              <c:f>'SPU Flat Tariff comparison'!$K$13:$K$14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346990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'SPU Flat Tariff comparison'!$C$23</c:f>
          <c:strCache>
            <c:ptCount val="1"/>
            <c:pt idx="0">
              <c:v>G Flat Tariff 7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'SPU Flat Tariff comparison'!$B$26:$B$32</c:f>
              <c:numCache>
                <c:formatCode>General</c:formatCode>
                <c:ptCount val="7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3000</c:v>
                </c:pt>
                <c:pt idx="5">
                  <c:v>5000</c:v>
                </c:pt>
                <c:pt idx="6">
                  <c:v>8000</c:v>
                </c:pt>
              </c:numCache>
            </c:numRef>
          </c:cat>
          <c:val>
            <c:numRef>
              <c:f>'SPU Flat Tariff comparison'!$K$26:$K$32</c:f>
              <c:numCache>
                <c:formatCode>"R"#,##0.00</c:formatCode>
                <c:ptCount val="7"/>
                <c:pt idx="0">
                  <c:v>172</c:v>
                </c:pt>
                <c:pt idx="1">
                  <c:v>184</c:v>
                </c:pt>
                <c:pt idx="2">
                  <c:v>196</c:v>
                </c:pt>
                <c:pt idx="3">
                  <c:v>220</c:v>
                </c:pt>
                <c:pt idx="4">
                  <c:v>460</c:v>
                </c:pt>
                <c:pt idx="5">
                  <c:v>700.00000000000182</c:v>
                </c:pt>
                <c:pt idx="6">
                  <c:v>1060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4-4263-9E10-C2490A2AC5F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2753727"/>
        <c:axId val="542754687"/>
      </c:barChart>
      <c:catAx>
        <c:axId val="5427537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</a:t>
                </a:r>
                <a:r>
                  <a:rPr lang="en-ZA" baseline="0"/>
                  <a:t>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54687"/>
        <c:crosses val="autoZero"/>
        <c:auto val="1"/>
        <c:lblAlgn val="ctr"/>
        <c:lblOffset val="100"/>
        <c:noMultiLvlLbl val="0"/>
      </c:catAx>
      <c:valAx>
        <c:axId val="542754687"/>
        <c:scaling>
          <c:orientation val="minMax"/>
        </c:scaling>
        <c:delete val="1"/>
        <c:axPos val="l"/>
        <c:title>
          <c:tx>
            <c:strRef>
              <c:f>'SPU Flat Tariff comparison'!$K$24:$K$25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542753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'LPU Flat Tariff comparison'!$C$1</c:f>
          <c:strCache>
            <c:ptCount val="1"/>
            <c:pt idx="0">
              <c:v>I Flat Tariff 9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comparison'!$B$4:$B$10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comparison'!$L$4:$L$10</c:f>
              <c:numCache>
                <c:formatCode>0.00%</c:formatCode>
                <c:ptCount val="7"/>
                <c:pt idx="0">
                  <c:v>-9.8766199968523413E-2</c:v>
                </c:pt>
                <c:pt idx="1">
                  <c:v>-8.0004754645479431E-2</c:v>
                </c:pt>
                <c:pt idx="2">
                  <c:v>-6.5158078715846016E-2</c:v>
                </c:pt>
                <c:pt idx="3">
                  <c:v>-5.311664383832837E-2</c:v>
                </c:pt>
                <c:pt idx="4">
                  <c:v>-4.3154014497832217E-2</c:v>
                </c:pt>
                <c:pt idx="5">
                  <c:v>-3.4774645312132278E-2</c:v>
                </c:pt>
                <c:pt idx="6">
                  <c:v>-1.608842848195547E-2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7-4ABD-8807-5506A50563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27483247"/>
        <c:axId val="627484207"/>
      </c:barChart>
      <c:catAx>
        <c:axId val="6274832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484207"/>
        <c:crosses val="autoZero"/>
        <c:auto val="1"/>
        <c:lblAlgn val="ctr"/>
        <c:lblOffset val="100"/>
        <c:noMultiLvlLbl val="0"/>
      </c:catAx>
      <c:valAx>
        <c:axId val="627484207"/>
        <c:scaling>
          <c:orientation val="minMax"/>
        </c:scaling>
        <c:delete val="1"/>
        <c:axPos val="l"/>
        <c:title>
          <c:tx>
            <c:strRef>
              <c:f>'LPU Flat Tariff comparison'!$L$2:$L$3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62748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YEAR ON YEAR RAND DIFFERENCE PER FLAT TARIFF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Basic/Fixed Charge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Inputs'!$D$14:$D$26</c:f>
              <c:strCache>
                <c:ptCount val="13"/>
                <c:pt idx="0">
                  <c:v>Flat Tariff 1</c:v>
                </c:pt>
                <c:pt idx="1">
                  <c:v>Flat Tariff 2</c:v>
                </c:pt>
                <c:pt idx="2">
                  <c:v>Flat Tariff 3</c:v>
                </c:pt>
                <c:pt idx="3">
                  <c:v>Flat Tariff 4</c:v>
                </c:pt>
                <c:pt idx="4">
                  <c:v>Flat Tariff 5</c:v>
                </c:pt>
                <c:pt idx="5">
                  <c:v>Flat Tariff 6</c:v>
                </c:pt>
                <c:pt idx="6">
                  <c:v>Flat Tariff 7</c:v>
                </c:pt>
                <c:pt idx="7">
                  <c:v>Flat Tariff 8</c:v>
                </c:pt>
                <c:pt idx="8">
                  <c:v>Flat Tariff 9</c:v>
                </c:pt>
                <c:pt idx="9">
                  <c:v>Flat Tariff 10</c:v>
                </c:pt>
                <c:pt idx="10">
                  <c:v>Flat Tariff 11</c:v>
                </c:pt>
                <c:pt idx="11">
                  <c:v>Flat Tariff 12</c:v>
                </c:pt>
                <c:pt idx="12">
                  <c:v>Flat Tariff 13</c:v>
                </c:pt>
              </c:strCache>
            </c:strRef>
          </c:cat>
          <c:val>
            <c:numRef>
              <c:f>'Tariffs Inputs'!$K$14:$K$26</c:f>
              <c:numCache>
                <c:formatCode>"R"#,##0.00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65</c:v>
                </c:pt>
                <c:pt idx="3">
                  <c:v>65</c:v>
                </c:pt>
                <c:pt idx="4">
                  <c:v>0</c:v>
                </c:pt>
                <c:pt idx="5">
                  <c:v>-30.304205253800319</c:v>
                </c:pt>
                <c:pt idx="6">
                  <c:v>100</c:v>
                </c:pt>
                <c:pt idx="7">
                  <c:v>36</c:v>
                </c:pt>
                <c:pt idx="8">
                  <c:v>-213.62908767160752</c:v>
                </c:pt>
                <c:pt idx="9">
                  <c:v>100</c:v>
                </c:pt>
                <c:pt idx="10">
                  <c:v>135.5</c:v>
                </c:pt>
                <c:pt idx="11">
                  <c:v>285</c:v>
                </c:pt>
                <c:pt idx="1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3-4F25-BED6-9578CB043428}"/>
            </c:ext>
          </c:extLst>
        </c:ser>
        <c:ser>
          <c:idx val="1"/>
          <c:order val="1"/>
          <c:tx>
            <c:v>Demand Charge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Inputs'!$D$14:$D$26</c:f>
              <c:strCache>
                <c:ptCount val="13"/>
                <c:pt idx="0">
                  <c:v>Flat Tariff 1</c:v>
                </c:pt>
                <c:pt idx="1">
                  <c:v>Flat Tariff 2</c:v>
                </c:pt>
                <c:pt idx="2">
                  <c:v>Flat Tariff 3</c:v>
                </c:pt>
                <c:pt idx="3">
                  <c:v>Flat Tariff 4</c:v>
                </c:pt>
                <c:pt idx="4">
                  <c:v>Flat Tariff 5</c:v>
                </c:pt>
                <c:pt idx="5">
                  <c:v>Flat Tariff 6</c:v>
                </c:pt>
                <c:pt idx="6">
                  <c:v>Flat Tariff 7</c:v>
                </c:pt>
                <c:pt idx="7">
                  <c:v>Flat Tariff 8</c:v>
                </c:pt>
                <c:pt idx="8">
                  <c:v>Flat Tariff 9</c:v>
                </c:pt>
                <c:pt idx="9">
                  <c:v>Flat Tariff 10</c:v>
                </c:pt>
                <c:pt idx="10">
                  <c:v>Flat Tariff 11</c:v>
                </c:pt>
                <c:pt idx="11">
                  <c:v>Flat Tariff 12</c:v>
                </c:pt>
                <c:pt idx="12">
                  <c:v>Flat Tariff 13</c:v>
                </c:pt>
              </c:strCache>
            </c:strRef>
          </c:cat>
          <c:val>
            <c:numRef>
              <c:f>'Tariffs Inputs'!$L$14:$L$26</c:f>
              <c:numCache>
                <c:formatCode>"R"#,##0.00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</c:v>
                </c:pt>
                <c:pt idx="8">
                  <c:v>-28</c:v>
                </c:pt>
                <c:pt idx="9">
                  <c:v>-4</c:v>
                </c:pt>
                <c:pt idx="10">
                  <c:v>12</c:v>
                </c:pt>
                <c:pt idx="11">
                  <c:v>-19</c:v>
                </c:pt>
                <c:pt idx="1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3-4F25-BED6-9578CB043428}"/>
            </c:ext>
          </c:extLst>
        </c:ser>
        <c:ser>
          <c:idx val="2"/>
          <c:order val="2"/>
          <c:tx>
            <c:v>Energy Charge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Inputs'!$D$14:$D$26</c:f>
              <c:strCache>
                <c:ptCount val="13"/>
                <c:pt idx="0">
                  <c:v>Flat Tariff 1</c:v>
                </c:pt>
                <c:pt idx="1">
                  <c:v>Flat Tariff 2</c:v>
                </c:pt>
                <c:pt idx="2">
                  <c:v>Flat Tariff 3</c:v>
                </c:pt>
                <c:pt idx="3">
                  <c:v>Flat Tariff 4</c:v>
                </c:pt>
                <c:pt idx="4">
                  <c:v>Flat Tariff 5</c:v>
                </c:pt>
                <c:pt idx="5">
                  <c:v>Flat Tariff 6</c:v>
                </c:pt>
                <c:pt idx="6">
                  <c:v>Flat Tariff 7</c:v>
                </c:pt>
                <c:pt idx="7">
                  <c:v>Flat Tariff 8</c:v>
                </c:pt>
                <c:pt idx="8">
                  <c:v>Flat Tariff 9</c:v>
                </c:pt>
                <c:pt idx="9">
                  <c:v>Flat Tariff 10</c:v>
                </c:pt>
                <c:pt idx="10">
                  <c:v>Flat Tariff 11</c:v>
                </c:pt>
                <c:pt idx="11">
                  <c:v>Flat Tariff 12</c:v>
                </c:pt>
                <c:pt idx="12">
                  <c:v>Flat Tariff 13</c:v>
                </c:pt>
              </c:strCache>
            </c:strRef>
          </c:cat>
          <c:val>
            <c:numRef>
              <c:f>'Tariffs Inputs'!$M$14:$M$26</c:f>
              <c:numCache>
                <c:formatCode>"R"#,##0.00</c:formatCode>
                <c:ptCount val="13"/>
                <c:pt idx="0">
                  <c:v>-6.0000000000000053E-2</c:v>
                </c:pt>
                <c:pt idx="1">
                  <c:v>4.9999999999999822E-2</c:v>
                </c:pt>
                <c:pt idx="2">
                  <c:v>-4.9999999999999822E-2</c:v>
                </c:pt>
                <c:pt idx="3">
                  <c:v>-4.0000000000000036E-2</c:v>
                </c:pt>
                <c:pt idx="4">
                  <c:v>0.17957237834422202</c:v>
                </c:pt>
                <c:pt idx="5">
                  <c:v>0.30487599365313311</c:v>
                </c:pt>
                <c:pt idx="6">
                  <c:v>0.12000000000000011</c:v>
                </c:pt>
                <c:pt idx="7">
                  <c:v>0.16917982578755408</c:v>
                </c:pt>
                <c:pt idx="8">
                  <c:v>0.24110090049376165</c:v>
                </c:pt>
                <c:pt idx="9">
                  <c:v>0.25999999999999979</c:v>
                </c:pt>
                <c:pt idx="10">
                  <c:v>0.16917982578755408</c:v>
                </c:pt>
                <c:pt idx="11">
                  <c:v>1.5948957620415261E-2</c:v>
                </c:pt>
                <c:pt idx="12">
                  <c:v>0.20000000000000018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3-4F25-BED6-9578CB0434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0338927"/>
        <c:axId val="160323087"/>
      </c:barChart>
      <c:catAx>
        <c:axId val="160338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23087"/>
        <c:crosses val="autoZero"/>
        <c:auto val="1"/>
        <c:lblAlgn val="ctr"/>
        <c:lblOffset val="100"/>
        <c:noMultiLvlLbl val="0"/>
      </c:catAx>
      <c:valAx>
        <c:axId val="160323087"/>
        <c:scaling>
          <c:orientation val="minMax"/>
        </c:scaling>
        <c:delete val="1"/>
        <c:axPos val="l"/>
        <c:numFmt formatCode="&quot;R&quot;#,##0.00" sourceLinked="1"/>
        <c:majorTickMark val="none"/>
        <c:minorTickMark val="none"/>
        <c:tickLblPos val="nextTo"/>
        <c:crossAx val="16033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'LPU Flat Tariff comparison'!$C$13</c:f>
          <c:strCache>
            <c:ptCount val="1"/>
            <c:pt idx="0">
              <c:v>K Flat Tariff 11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comparison'!$B$16:$B$22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comparison'!$L$16:$L$22</c:f>
              <c:numCache>
                <c:formatCode>0.00%</c:formatCode>
                <c:ptCount val="7"/>
                <c:pt idx="0">
                  <c:v>6.7945282785233499E-2</c:v>
                </c:pt>
                <c:pt idx="1">
                  <c:v>6.9365023796453124E-2</c:v>
                </c:pt>
                <c:pt idx="2">
                  <c:v>7.0680204592216911E-2</c:v>
                </c:pt>
                <c:pt idx="3">
                  <c:v>7.1901965812949789E-2</c:v>
                </c:pt>
                <c:pt idx="4">
                  <c:v>7.3039919703320771E-2</c:v>
                </c:pt>
                <c:pt idx="5">
                  <c:v>7.4102403523508928E-2</c:v>
                </c:pt>
                <c:pt idx="6">
                  <c:v>7.6905320026854365E-2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A-4CE5-8A25-461E28C24B9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86177199"/>
        <c:axId val="486175279"/>
      </c:barChart>
      <c:catAx>
        <c:axId val="486177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175279"/>
        <c:crosses val="autoZero"/>
        <c:auto val="1"/>
        <c:lblAlgn val="ctr"/>
        <c:lblOffset val="100"/>
        <c:noMultiLvlLbl val="0"/>
      </c:catAx>
      <c:valAx>
        <c:axId val="486175279"/>
        <c:scaling>
          <c:orientation val="minMax"/>
        </c:scaling>
        <c:delete val="1"/>
        <c:axPos val="l"/>
        <c:title>
          <c:tx>
            <c:strRef>
              <c:f>'LPU Flat Tariff comparison'!$L$14:$L$15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48617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'LPU Flat Tariff comparison'!$C$25</c:f>
          <c:strCache>
            <c:ptCount val="1"/>
            <c:pt idx="0">
              <c:v>H Flat Tariff 8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comparison'!$B$28:$B$34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comparison'!$L$28:$L$34</c:f>
              <c:numCache>
                <c:formatCode>0.00%</c:formatCode>
                <c:ptCount val="7"/>
                <c:pt idx="0">
                  <c:v>9.7593758873834549E-2</c:v>
                </c:pt>
                <c:pt idx="1">
                  <c:v>9.8154185218922108E-2</c:v>
                </c:pt>
                <c:pt idx="2">
                  <c:v>9.86365537039854E-2</c:v>
                </c:pt>
                <c:pt idx="3">
                  <c:v>9.9056110744640491E-2</c:v>
                </c:pt>
                <c:pt idx="4">
                  <c:v>9.9424374856685607E-2</c:v>
                </c:pt>
                <c:pt idx="5">
                  <c:v>9.9750210406065368E-2</c:v>
                </c:pt>
                <c:pt idx="6">
                  <c:v>0.10053566549543423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80-4EB5-9951-16890B9F69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07802879"/>
        <c:axId val="507803359"/>
      </c:barChart>
      <c:catAx>
        <c:axId val="5078028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803359"/>
        <c:crosses val="autoZero"/>
        <c:auto val="1"/>
        <c:lblAlgn val="ctr"/>
        <c:lblOffset val="100"/>
        <c:noMultiLvlLbl val="0"/>
      </c:catAx>
      <c:valAx>
        <c:axId val="507803359"/>
        <c:scaling>
          <c:orientation val="minMax"/>
        </c:scaling>
        <c:delete val="1"/>
        <c:axPos val="l"/>
        <c:title>
          <c:tx>
            <c:strRef>
              <c:f>'LPU Flat Tariff comparison'!$L$26:$L$27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07802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'LPU Flat Tariff comparison'!$C$37</c:f>
          <c:strCache>
            <c:ptCount val="1"/>
            <c:pt idx="0">
              <c:v>J Flat Tariff 10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comparison'!$B$40:$B$46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comparison'!$L$40:$L$46</c:f>
              <c:numCache>
                <c:formatCode>0.00%</c:formatCode>
                <c:ptCount val="7"/>
                <c:pt idx="0">
                  <c:v>-2.843216896831844E-3</c:v>
                </c:pt>
                <c:pt idx="1">
                  <c:v>7.0842654735272185E-3</c:v>
                </c:pt>
                <c:pt idx="2">
                  <c:v>1.5506547208821502E-2</c:v>
                </c:pt>
                <c:pt idx="3">
                  <c:v>2.2741832158872519E-2</c:v>
                </c:pt>
                <c:pt idx="4">
                  <c:v>2.9024536205864752E-2</c:v>
                </c:pt>
                <c:pt idx="5">
                  <c:v>3.4531162268388545E-2</c:v>
                </c:pt>
                <c:pt idx="6">
                  <c:v>4.7607768829938418E-2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7-449E-9D66-6C22F5371E9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04843999"/>
        <c:axId val="504846879"/>
      </c:barChart>
      <c:catAx>
        <c:axId val="504843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846879"/>
        <c:crosses val="autoZero"/>
        <c:auto val="1"/>
        <c:lblAlgn val="ctr"/>
        <c:lblOffset val="100"/>
        <c:noMultiLvlLbl val="0"/>
      </c:catAx>
      <c:valAx>
        <c:axId val="504846879"/>
        <c:scaling>
          <c:orientation val="minMax"/>
        </c:scaling>
        <c:delete val="1"/>
        <c:axPos val="l"/>
        <c:title>
          <c:tx>
            <c:strRef>
              <c:f>'LPU Flat Tariff comparison'!$L$38:$L$39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04843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'LPU Flat Tariff comparison'!$C$49</c:f>
          <c:strCache>
            <c:ptCount val="1"/>
            <c:pt idx="0">
              <c:v>L Flat Tariff 12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comparison'!$B$52:$B$58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comparison'!$L$52:$L$58</c:f>
              <c:numCache>
                <c:formatCode>0.00%</c:formatCode>
                <c:ptCount val="7"/>
                <c:pt idx="0">
                  <c:v>-0.10042899206477618</c:v>
                </c:pt>
                <c:pt idx="1">
                  <c:v>-9.5780020107074051E-2</c:v>
                </c:pt>
                <c:pt idx="2">
                  <c:v>-9.151468924719254E-2</c:v>
                </c:pt>
                <c:pt idx="3">
                  <c:v>-8.7587393163934477E-2</c:v>
                </c:pt>
                <c:pt idx="4">
                  <c:v>-8.3959478766537254E-2</c:v>
                </c:pt>
                <c:pt idx="5">
                  <c:v>-8.0597969719001544E-2</c:v>
                </c:pt>
                <c:pt idx="6">
                  <c:v>-7.1847549106409475E-2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3-4D70-A31B-67EE775D5E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2029263"/>
        <c:axId val="542032623"/>
      </c:barChart>
      <c:catAx>
        <c:axId val="54202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032623"/>
        <c:crosses val="autoZero"/>
        <c:auto val="1"/>
        <c:lblAlgn val="ctr"/>
        <c:lblOffset val="100"/>
        <c:noMultiLvlLbl val="0"/>
      </c:catAx>
      <c:valAx>
        <c:axId val="542032623"/>
        <c:scaling>
          <c:orientation val="minMax"/>
        </c:scaling>
        <c:delete val="1"/>
        <c:axPos val="l"/>
        <c:title>
          <c:tx>
            <c:strRef>
              <c:f>'LPU Flat Tariff comparison'!$L$50:$L$51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4202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'LPU Flat Tariff comparison'!$C$61</c:f>
          <c:strCache>
            <c:ptCount val="1"/>
            <c:pt idx="0">
              <c:v>M Flat Tariff 13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comparison'!$B$64:$B$70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comparison'!$L$64:$L$70</c:f>
              <c:numCache>
                <c:formatCode>0.00%</c:formatCode>
                <c:ptCount val="7"/>
                <c:pt idx="0">
                  <c:v>9.1954634550186959E-2</c:v>
                </c:pt>
                <c:pt idx="1">
                  <c:v>9.1350710182208361E-2</c:v>
                </c:pt>
                <c:pt idx="2">
                  <c:v>9.0804869650857031E-2</c:v>
                </c:pt>
                <c:pt idx="3">
                  <c:v>9.0309117904539229E-2</c:v>
                </c:pt>
                <c:pt idx="4">
                  <c:v>8.9856862844879468E-2</c:v>
                </c:pt>
                <c:pt idx="5">
                  <c:v>8.9442620525725658E-2</c:v>
                </c:pt>
                <c:pt idx="6">
                  <c:v>8.8385410368831102E-2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1-4815-80D4-4D20D534CB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2033583"/>
        <c:axId val="542040783"/>
      </c:barChart>
      <c:catAx>
        <c:axId val="5420335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040783"/>
        <c:crosses val="autoZero"/>
        <c:auto val="1"/>
        <c:lblAlgn val="ctr"/>
        <c:lblOffset val="100"/>
        <c:noMultiLvlLbl val="0"/>
      </c:catAx>
      <c:valAx>
        <c:axId val="542040783"/>
        <c:scaling>
          <c:orientation val="minMax"/>
        </c:scaling>
        <c:delete val="1"/>
        <c:axPos val="l"/>
        <c:title>
          <c:tx>
            <c:strRef>
              <c:f>'LPU Flat Tariff comparison'!$L$62:$L$63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42033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'LPU Flat Tariff comparison'!$C$1</c:f>
          <c:strCache>
            <c:ptCount val="1"/>
            <c:pt idx="0">
              <c:v>I Flat Tariff 9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comparison'!$B$4:$B$10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comparison'!$K$4:$K$10</c:f>
              <c:numCache>
                <c:formatCode>"R"#,##0.00</c:formatCode>
                <c:ptCount val="7"/>
                <c:pt idx="0">
                  <c:v>-28991.611077796435</c:v>
                </c:pt>
                <c:pt idx="1">
                  <c:v>-26580.602072858776</c:v>
                </c:pt>
                <c:pt idx="2">
                  <c:v>-24169.593067921174</c:v>
                </c:pt>
                <c:pt idx="3">
                  <c:v>-21758.584062983515</c:v>
                </c:pt>
                <c:pt idx="4">
                  <c:v>-19347.575058045913</c:v>
                </c:pt>
                <c:pt idx="5">
                  <c:v>-16936.566053108312</c:v>
                </c:pt>
                <c:pt idx="6">
                  <c:v>-9703.5390382953919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D-4661-8C64-97402440723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14687615"/>
        <c:axId val="714688095"/>
      </c:barChart>
      <c:catAx>
        <c:axId val="7146876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688095"/>
        <c:crosses val="autoZero"/>
        <c:auto val="1"/>
        <c:lblAlgn val="ctr"/>
        <c:lblOffset val="100"/>
        <c:noMultiLvlLbl val="0"/>
      </c:catAx>
      <c:valAx>
        <c:axId val="714688095"/>
        <c:scaling>
          <c:orientation val="minMax"/>
        </c:scaling>
        <c:delete val="1"/>
        <c:axPos val="l"/>
        <c:title>
          <c:tx>
            <c:strRef>
              <c:f>'LPU Flat Tariff comparison'!$K$2:$K$3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714687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'LPU Flat Tariff comparison'!$C$13</c:f>
          <c:strCache>
            <c:ptCount val="1"/>
            <c:pt idx="0">
              <c:v>K Flat Tariff 11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comparison'!$B$16:$B$22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comparison'!$K$16:$K$22</c:f>
              <c:numCache>
                <c:formatCode>"R"#,##0.00</c:formatCode>
                <c:ptCount val="7"/>
                <c:pt idx="0">
                  <c:v>27519.096515751095</c:v>
                </c:pt>
                <c:pt idx="1">
                  <c:v>29210.894773626642</c:v>
                </c:pt>
                <c:pt idx="2">
                  <c:v>30902.693031502189</c:v>
                </c:pt>
                <c:pt idx="3">
                  <c:v>32594.491289377678</c:v>
                </c:pt>
                <c:pt idx="4">
                  <c:v>34286.289547253284</c:v>
                </c:pt>
                <c:pt idx="5">
                  <c:v>35978.087805128773</c:v>
                </c:pt>
                <c:pt idx="6">
                  <c:v>41053.482578755356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1F-43F9-8ACF-34F6A42972B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14654975"/>
        <c:axId val="714657375"/>
      </c:barChart>
      <c:catAx>
        <c:axId val="7146549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657375"/>
        <c:crosses val="autoZero"/>
        <c:auto val="1"/>
        <c:lblAlgn val="ctr"/>
        <c:lblOffset val="100"/>
        <c:noMultiLvlLbl val="0"/>
      </c:catAx>
      <c:valAx>
        <c:axId val="714657375"/>
        <c:scaling>
          <c:orientation val="minMax"/>
        </c:scaling>
        <c:delete val="1"/>
        <c:axPos val="l"/>
        <c:title>
          <c:tx>
            <c:strRef>
              <c:f>'LPU Flat Tariff comparison'!$K$14:$K$15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714654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'LPU Flat Tariff comparison'!$C$25</c:f>
          <c:strCache>
            <c:ptCount val="1"/>
            <c:pt idx="0">
              <c:v>H Flat Tariff 8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comparison'!$B$28:$B$34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comparison'!$K$28:$K$34</c:f>
              <c:numCache>
                <c:formatCode>"R"#,##0.00</c:formatCode>
                <c:ptCount val="7"/>
                <c:pt idx="0">
                  <c:v>19419.596515751095</c:v>
                </c:pt>
                <c:pt idx="1">
                  <c:v>21111.394773626642</c:v>
                </c:pt>
                <c:pt idx="2">
                  <c:v>22803.19303150216</c:v>
                </c:pt>
                <c:pt idx="3">
                  <c:v>24494.991289377678</c:v>
                </c:pt>
                <c:pt idx="4">
                  <c:v>26186.789547253284</c:v>
                </c:pt>
                <c:pt idx="5">
                  <c:v>27878.587805128773</c:v>
                </c:pt>
                <c:pt idx="6">
                  <c:v>32953.982578755415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864-8626-0E66ED095B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37223071"/>
        <c:axId val="1237223551"/>
      </c:barChart>
      <c:catAx>
        <c:axId val="1237223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223551"/>
        <c:crosses val="autoZero"/>
        <c:auto val="1"/>
        <c:lblAlgn val="ctr"/>
        <c:lblOffset val="100"/>
        <c:noMultiLvlLbl val="0"/>
      </c:catAx>
      <c:valAx>
        <c:axId val="1237223551"/>
        <c:scaling>
          <c:orientation val="minMax"/>
        </c:scaling>
        <c:delete val="1"/>
        <c:axPos val="l"/>
        <c:title>
          <c:tx>
            <c:strRef>
              <c:f>'LPU Flat Tariff comparison'!$K$26:$K$27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237223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'LPU Flat Tariff comparison'!$C$37</c:f>
          <c:strCache>
            <c:ptCount val="1"/>
            <c:pt idx="0">
              <c:v>J Flat Tariff 10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comparison'!$B$40:$B$46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comparison'!$K$40:$K$46</c:f>
              <c:numCache>
                <c:formatCode>"R"#,##0.00</c:formatCode>
                <c:ptCount val="7"/>
                <c:pt idx="0">
                  <c:v>-700</c:v>
                </c:pt>
                <c:pt idx="1">
                  <c:v>1900</c:v>
                </c:pt>
                <c:pt idx="2">
                  <c:v>4500</c:v>
                </c:pt>
                <c:pt idx="3">
                  <c:v>7100</c:v>
                </c:pt>
                <c:pt idx="4">
                  <c:v>9700</c:v>
                </c:pt>
                <c:pt idx="5">
                  <c:v>12300</c:v>
                </c:pt>
                <c:pt idx="6">
                  <c:v>20100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0-4710-94A1-6918C07AE7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37228351"/>
        <c:axId val="1237231711"/>
      </c:barChart>
      <c:catAx>
        <c:axId val="1237228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7231711"/>
        <c:crosses val="autoZero"/>
        <c:auto val="1"/>
        <c:lblAlgn val="ctr"/>
        <c:lblOffset val="100"/>
        <c:noMultiLvlLbl val="0"/>
      </c:catAx>
      <c:valAx>
        <c:axId val="1237231711"/>
        <c:scaling>
          <c:orientation val="minMax"/>
        </c:scaling>
        <c:delete val="1"/>
        <c:axPos val="l"/>
        <c:title>
          <c:tx>
            <c:strRef>
              <c:f>'LPU Flat Tariff comparison'!$K$38:$K$39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23722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'LPU Flat Tariff comparison'!$C$49</c:f>
          <c:strCache>
            <c:ptCount val="1"/>
            <c:pt idx="0">
              <c:v>L Flat Tariff 12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comparison'!$B$52:$B$58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comparison'!$K$52:$K$58</c:f>
              <c:numCache>
                <c:formatCode>"R"#,##0.00</c:formatCode>
                <c:ptCount val="7"/>
                <c:pt idx="0">
                  <c:v>-46896.020847591688</c:v>
                </c:pt>
                <c:pt idx="1">
                  <c:v>-46736.531271387532</c:v>
                </c:pt>
                <c:pt idx="2">
                  <c:v>-46577.041695183376</c:v>
                </c:pt>
                <c:pt idx="3">
                  <c:v>-46417.55211897922</c:v>
                </c:pt>
                <c:pt idx="4">
                  <c:v>-46258.062542775064</c:v>
                </c:pt>
                <c:pt idx="5">
                  <c:v>-46098.572966570966</c:v>
                </c:pt>
                <c:pt idx="6">
                  <c:v>-45620.10423795844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8-4788-ACBF-924275A932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2724927"/>
        <c:axId val="542726367"/>
      </c:barChart>
      <c:catAx>
        <c:axId val="542724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6367"/>
        <c:crosses val="autoZero"/>
        <c:auto val="1"/>
        <c:lblAlgn val="ctr"/>
        <c:lblOffset val="100"/>
        <c:noMultiLvlLbl val="0"/>
      </c:catAx>
      <c:valAx>
        <c:axId val="542726367"/>
        <c:scaling>
          <c:orientation val="minMax"/>
        </c:scaling>
        <c:delete val="1"/>
        <c:axPos val="l"/>
        <c:title>
          <c:tx>
            <c:strRef>
              <c:f>'LPU Flat Tariff comparison'!$K$50:$K$51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54272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'Tariffs Inputs'!$J$61:$N$61</c:f>
          <c:strCache>
            <c:ptCount val="5"/>
            <c:pt idx="0">
              <c:v>TOU Overall comparison Year 2 vs Year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'Tariffs Inputs'!$J$63</c:f>
              <c:strCache>
                <c:ptCount val="1"/>
                <c:pt idx="0">
                  <c:v>Basic/Fixed Charge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Inputs'!$J$64:$J$73</c:f>
              <c:numCache>
                <c:formatCode>"R"#,##0.00</c:formatCode>
                <c:ptCount val="10"/>
                <c:pt idx="0">
                  <c:v>-1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396.30420525380032</c:v>
                </c:pt>
                <c:pt idx="6">
                  <c:v>1924.1509123283927</c:v>
                </c:pt>
                <c:pt idx="7">
                  <c:v>-2104</c:v>
                </c:pt>
                <c:pt idx="8">
                  <c:v>392.06908767160712</c:v>
                </c:pt>
                <c:pt idx="9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2-4826-8685-A3F7E6144A8F}"/>
            </c:ext>
          </c:extLst>
        </c:ser>
        <c:ser>
          <c:idx val="1"/>
          <c:order val="1"/>
          <c:tx>
            <c:strRef>
              <c:f>'Tariffs Inputs'!$K$63</c:f>
              <c:strCache>
                <c:ptCount val="1"/>
                <c:pt idx="0">
                  <c:v>Demand Charge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Inputs'!$K$64:$K$73</c:f>
              <c:numCache>
                <c:formatCode>"R"#,##0.00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58</c:v>
                </c:pt>
                <c:pt idx="6">
                  <c:v>68</c:v>
                </c:pt>
                <c:pt idx="7">
                  <c:v>128</c:v>
                </c:pt>
                <c:pt idx="8">
                  <c:v>46</c:v>
                </c:pt>
                <c:pt idx="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82-4826-8685-A3F7E6144A8F}"/>
            </c:ext>
          </c:extLst>
        </c:ser>
        <c:ser>
          <c:idx val="2"/>
          <c:order val="2"/>
          <c:tx>
            <c:strRef>
              <c:f>'Tariffs Inputs'!$L$63</c:f>
              <c:strCache>
                <c:ptCount val="1"/>
                <c:pt idx="0">
                  <c:v>Peak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Inputs'!$L$64:$L$73</c:f>
              <c:numCache>
                <c:formatCode>"R"#,##0.00</c:formatCode>
                <c:ptCount val="10"/>
                <c:pt idx="0">
                  <c:v>-0.19999999999999973</c:v>
                </c:pt>
                <c:pt idx="1">
                  <c:v>-0.54999999999999982</c:v>
                </c:pt>
                <c:pt idx="2">
                  <c:v>-0.99999999999999956</c:v>
                </c:pt>
                <c:pt idx="3">
                  <c:v>-1.7400000000000002</c:v>
                </c:pt>
                <c:pt idx="4">
                  <c:v>-2.2000000000000002</c:v>
                </c:pt>
                <c:pt idx="5">
                  <c:v>-0.81</c:v>
                </c:pt>
                <c:pt idx="6">
                  <c:v>0.10000000000000009</c:v>
                </c:pt>
                <c:pt idx="7">
                  <c:v>0.48999999999999955</c:v>
                </c:pt>
                <c:pt idx="8">
                  <c:v>-1.4699999999999998</c:v>
                </c:pt>
                <c:pt idx="9">
                  <c:v>0.29999999999999982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82-4826-8685-A3F7E6144A8F}"/>
            </c:ext>
          </c:extLst>
        </c:ser>
        <c:ser>
          <c:idx val="3"/>
          <c:order val="3"/>
          <c:tx>
            <c:strRef>
              <c:f>'Tariffs Inputs'!$M$63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Inputs'!$M$64:$M$73</c:f>
              <c:numCache>
                <c:formatCode>"R"#,##0.00</c:formatCode>
                <c:ptCount val="10"/>
                <c:pt idx="0">
                  <c:v>1.2</c:v>
                </c:pt>
                <c:pt idx="1">
                  <c:v>1.1000000000000001</c:v>
                </c:pt>
                <c:pt idx="2">
                  <c:v>1.3</c:v>
                </c:pt>
                <c:pt idx="3">
                  <c:v>1.02</c:v>
                </c:pt>
                <c:pt idx="4">
                  <c:v>1.24</c:v>
                </c:pt>
                <c:pt idx="5">
                  <c:v>1.5</c:v>
                </c:pt>
                <c:pt idx="6">
                  <c:v>1.1500000000000001</c:v>
                </c:pt>
                <c:pt idx="7">
                  <c:v>1.4000000000000001</c:v>
                </c:pt>
                <c:pt idx="8">
                  <c:v>1.27</c:v>
                </c:pt>
                <c:pt idx="9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2-4826-8685-A3F7E6144A8F}"/>
            </c:ext>
          </c:extLst>
        </c:ser>
        <c:ser>
          <c:idx val="4"/>
          <c:order val="4"/>
          <c:tx>
            <c:strRef>
              <c:f>'Tariffs Inputs'!$N$63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Inputs'!$N$64:$N$73</c:f>
              <c:numCache>
                <c:formatCode>"R"#,##0.00</c:formatCode>
                <c:ptCount val="10"/>
                <c:pt idx="0">
                  <c:v>0.31999999999999995</c:v>
                </c:pt>
                <c:pt idx="1">
                  <c:v>0.24</c:v>
                </c:pt>
                <c:pt idx="2">
                  <c:v>0.18999999999999995</c:v>
                </c:pt>
                <c:pt idx="3">
                  <c:v>0.32000000000000006</c:v>
                </c:pt>
                <c:pt idx="4">
                  <c:v>0.17999999999999994</c:v>
                </c:pt>
                <c:pt idx="5">
                  <c:v>0.20999999999999996</c:v>
                </c:pt>
                <c:pt idx="6">
                  <c:v>0.41999999999999993</c:v>
                </c:pt>
                <c:pt idx="7">
                  <c:v>0.75</c:v>
                </c:pt>
                <c:pt idx="8">
                  <c:v>0.46999999999999986</c:v>
                </c:pt>
                <c:pt idx="9">
                  <c:v>0.16000000000000014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82-4826-8685-A3F7E6144A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13718079"/>
        <c:axId val="813702719"/>
      </c:barChart>
      <c:catAx>
        <c:axId val="813718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3702719"/>
        <c:crosses val="autoZero"/>
        <c:auto val="1"/>
        <c:lblAlgn val="ctr"/>
        <c:lblOffset val="100"/>
        <c:noMultiLvlLbl val="0"/>
      </c:catAx>
      <c:valAx>
        <c:axId val="813702719"/>
        <c:scaling>
          <c:orientation val="minMax"/>
        </c:scaling>
        <c:delete val="1"/>
        <c:axPos val="l"/>
        <c:numFmt formatCode="&quot;R&quot;#,##0.00" sourceLinked="1"/>
        <c:majorTickMark val="none"/>
        <c:minorTickMark val="none"/>
        <c:tickLblPos val="nextTo"/>
        <c:crossAx val="81371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'LPU Flat Tariff comparison'!$C$61</c:f>
          <c:strCache>
            <c:ptCount val="1"/>
            <c:pt idx="0">
              <c:v>M Flat Tariff 13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'LPU Flat Tariff comparison'!$B$64:$B$70</c:f>
              <c:numCache>
                <c:formatCode>General</c:formatCode>
                <c:ptCount val="7"/>
                <c:pt idx="0">
                  <c:v>20000</c:v>
                </c:pt>
                <c:pt idx="1">
                  <c:v>30000</c:v>
                </c:pt>
                <c:pt idx="2">
                  <c:v>40000</c:v>
                </c:pt>
                <c:pt idx="3">
                  <c:v>50000</c:v>
                </c:pt>
                <c:pt idx="4">
                  <c:v>60000</c:v>
                </c:pt>
                <c:pt idx="5">
                  <c:v>70000</c:v>
                </c:pt>
                <c:pt idx="6">
                  <c:v>100000</c:v>
                </c:pt>
              </c:numCache>
            </c:numRef>
          </c:cat>
          <c:val>
            <c:numRef>
              <c:f>'LPU Flat Tariff comparison'!$K$64:$K$70</c:f>
              <c:numCache>
                <c:formatCode>"R"#,##0.00</c:formatCode>
                <c:ptCount val="7"/>
                <c:pt idx="0">
                  <c:v>43207</c:v>
                </c:pt>
                <c:pt idx="1">
                  <c:v>45207</c:v>
                </c:pt>
                <c:pt idx="2">
                  <c:v>47207</c:v>
                </c:pt>
                <c:pt idx="3">
                  <c:v>49207</c:v>
                </c:pt>
                <c:pt idx="4">
                  <c:v>51207</c:v>
                </c:pt>
                <c:pt idx="5">
                  <c:v>53207</c:v>
                </c:pt>
                <c:pt idx="6">
                  <c:v>59207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B-46FB-97F9-577FCAD57F5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16464543"/>
        <c:axId val="316456383"/>
      </c:barChart>
      <c:catAx>
        <c:axId val="316464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456383"/>
        <c:crosses val="autoZero"/>
        <c:auto val="1"/>
        <c:lblAlgn val="ctr"/>
        <c:lblOffset val="100"/>
        <c:noMultiLvlLbl val="0"/>
      </c:catAx>
      <c:valAx>
        <c:axId val="316456383"/>
        <c:scaling>
          <c:orientation val="minMax"/>
        </c:scaling>
        <c:delete val="1"/>
        <c:axPos val="l"/>
        <c:title>
          <c:tx>
            <c:strRef>
              <c:f>'LPU Flat Tariff comparison'!$K$62:$K$63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31646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LS'!$C$2</c:f>
          <c:strCache>
            <c:ptCount val="1"/>
            <c:pt idx="0">
              <c:v>Low Season A TOU Tariff 1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LS'!$B$5:$B$9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LS'!$P$5:$P$9</c:f>
              <c:numCache>
                <c:formatCode>0.00%</c:formatCode>
                <c:ptCount val="5"/>
                <c:pt idx="0">
                  <c:v>0.28125</c:v>
                </c:pt>
                <c:pt idx="1">
                  <c:v>0.28206764518187621</c:v>
                </c:pt>
                <c:pt idx="2">
                  <c:v>0.28268156424581004</c:v>
                </c:pt>
                <c:pt idx="3">
                  <c:v>0.28315946348733234</c:v>
                </c:pt>
                <c:pt idx="4">
                  <c:v>0.28354203935599287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88-462C-AF1A-00B3EA7B4E9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2451855"/>
        <c:axId val="1022452335"/>
      </c:barChart>
      <c:catAx>
        <c:axId val="10224518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452335"/>
        <c:crosses val="autoZero"/>
        <c:auto val="1"/>
        <c:lblAlgn val="ctr"/>
        <c:lblOffset val="100"/>
        <c:noMultiLvlLbl val="0"/>
      </c:catAx>
      <c:valAx>
        <c:axId val="1022452335"/>
        <c:scaling>
          <c:orientation val="minMax"/>
        </c:scaling>
        <c:delete val="1"/>
        <c:axPos val="l"/>
        <c:title>
          <c:tx>
            <c:strRef>
              <c:f>'TOU Tariff Comparison LS'!$P$3:$P$4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022451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LS'!$C$2</c:f>
          <c:strCache>
            <c:ptCount val="1"/>
            <c:pt idx="0">
              <c:v>Low Season A TOU Tariff 1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LS'!$B$5:$B$9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LS'!$O$5:$O$9</c:f>
              <c:numCache>
                <c:formatCode>"R"#,##0.00</c:formatCode>
                <c:ptCount val="5"/>
                <c:pt idx="0">
                  <c:v>189</c:v>
                </c:pt>
                <c:pt idx="1">
                  <c:v>221</c:v>
                </c:pt>
                <c:pt idx="2">
                  <c:v>253</c:v>
                </c:pt>
                <c:pt idx="3">
                  <c:v>285</c:v>
                </c:pt>
                <c:pt idx="4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E-43D0-A56E-9467DA16B37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56316767"/>
        <c:axId val="556317247"/>
      </c:barChart>
      <c:catAx>
        <c:axId val="556316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317247"/>
        <c:crosses val="autoZero"/>
        <c:auto val="1"/>
        <c:lblAlgn val="ctr"/>
        <c:lblOffset val="100"/>
        <c:noMultiLvlLbl val="0"/>
      </c:catAx>
      <c:valAx>
        <c:axId val="556317247"/>
        <c:scaling>
          <c:orientation val="minMax"/>
        </c:scaling>
        <c:delete val="1"/>
        <c:axPos val="l"/>
        <c:title>
          <c:tx>
            <c:strRef>
              <c:f>'TOU Tariff Comparison LS'!$O$3:$O$4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556316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LS'!$C$13</c:f>
          <c:strCache>
            <c:ptCount val="1"/>
            <c:pt idx="0">
              <c:v>Low Season B TOU Tariff 2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LS'!$B$16:$B$20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LS'!$P$16:$P$20</c:f>
              <c:numCache>
                <c:formatCode>0.00%</c:formatCode>
                <c:ptCount val="5"/>
                <c:pt idx="0">
                  <c:v>0.24523845571536718</c:v>
                </c:pt>
                <c:pt idx="1">
                  <c:v>0.24577734501785128</c:v>
                </c:pt>
                <c:pt idx="2">
                  <c:v>0.24618181818181803</c:v>
                </c:pt>
                <c:pt idx="3">
                  <c:v>0.24649659004799193</c:v>
                </c:pt>
                <c:pt idx="4">
                  <c:v>0.24674852205547973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E-4E48-9E9A-18ECD6329A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48645663"/>
        <c:axId val="448646623"/>
      </c:barChart>
      <c:catAx>
        <c:axId val="4486456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Uaage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646623"/>
        <c:crosses val="autoZero"/>
        <c:auto val="1"/>
        <c:lblAlgn val="ctr"/>
        <c:lblOffset val="100"/>
        <c:noMultiLvlLbl val="0"/>
      </c:catAx>
      <c:valAx>
        <c:axId val="448646623"/>
        <c:scaling>
          <c:orientation val="minMax"/>
        </c:scaling>
        <c:delete val="1"/>
        <c:axPos val="l"/>
        <c:title>
          <c:tx>
            <c:strRef>
              <c:f>'TOU Tariff Comparison LS'!$P$14:$P$15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44864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LS'!$C$13</c:f>
          <c:strCache>
            <c:ptCount val="1"/>
            <c:pt idx="0">
              <c:v>Low Season B TOU Tariff 2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LS'!$B$16:$B$20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LS'!$O$16:$O$20</c:f>
              <c:numCache>
                <c:formatCode>"R"#,##0.00</c:formatCode>
                <c:ptCount val="5"/>
                <c:pt idx="0">
                  <c:v>161.98000000000002</c:v>
                </c:pt>
                <c:pt idx="1">
                  <c:v>189.30999999999995</c:v>
                </c:pt>
                <c:pt idx="2">
                  <c:v>216.63999999999987</c:v>
                </c:pt>
                <c:pt idx="3">
                  <c:v>243.97000000000003</c:v>
                </c:pt>
                <c:pt idx="4">
                  <c:v>271.29999999999995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4-4EAE-B175-38BB61DB88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2461455"/>
        <c:axId val="1022460495"/>
      </c:barChart>
      <c:catAx>
        <c:axId val="102246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460495"/>
        <c:crosses val="autoZero"/>
        <c:auto val="1"/>
        <c:lblAlgn val="ctr"/>
        <c:lblOffset val="100"/>
        <c:noMultiLvlLbl val="0"/>
      </c:catAx>
      <c:valAx>
        <c:axId val="1022460495"/>
        <c:scaling>
          <c:orientation val="minMax"/>
        </c:scaling>
        <c:delete val="1"/>
        <c:axPos val="l"/>
        <c:numFmt formatCode="&quot;R&quot;#,##0.00" sourceLinked="1"/>
        <c:majorTickMark val="none"/>
        <c:minorTickMark val="none"/>
        <c:tickLblPos val="nextTo"/>
        <c:crossAx val="102246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LS'!$C$24</c:f>
          <c:strCache>
            <c:ptCount val="1"/>
            <c:pt idx="0">
              <c:v>Low Season C TOU Tariff 3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LS'!$B$27:$B$31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LS'!$P$27:$P$31</c:f>
              <c:numCache>
                <c:formatCode>0.00%</c:formatCode>
                <c:ptCount val="5"/>
                <c:pt idx="0">
                  <c:v>-0.204270462633452</c:v>
                </c:pt>
                <c:pt idx="1">
                  <c:v>-0.20427046263345205</c:v>
                </c:pt>
                <c:pt idx="2">
                  <c:v>-0.20427046263345197</c:v>
                </c:pt>
                <c:pt idx="3">
                  <c:v>-0.20427046263345192</c:v>
                </c:pt>
                <c:pt idx="4">
                  <c:v>-0.20427046263345194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1-4D81-BBDE-31C7B5AE5A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30802575"/>
        <c:axId val="230807855"/>
      </c:barChart>
      <c:catAx>
        <c:axId val="230802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807855"/>
        <c:crosses val="autoZero"/>
        <c:auto val="1"/>
        <c:lblAlgn val="ctr"/>
        <c:lblOffset val="100"/>
        <c:noMultiLvlLbl val="0"/>
      </c:catAx>
      <c:valAx>
        <c:axId val="230807855"/>
        <c:scaling>
          <c:orientation val="minMax"/>
        </c:scaling>
        <c:delete val="1"/>
        <c:axPos val="l"/>
        <c:title>
          <c:tx>
            <c:strRef>
              <c:f>'TOU Tariff Comparison LS'!$P$25:$P$26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23080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LS'!$C$24</c:f>
          <c:strCache>
            <c:ptCount val="1"/>
            <c:pt idx="0">
              <c:v>Low Season C TOU Tariff 3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LS'!$B$27:$B$31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LS'!$O$27:$O$31</c:f>
              <c:numCache>
                <c:formatCode>"R"#,##0.00</c:formatCode>
                <c:ptCount val="5"/>
                <c:pt idx="0">
                  <c:v>-172.20000000000005</c:v>
                </c:pt>
                <c:pt idx="1">
                  <c:v>-200.90000000000009</c:v>
                </c:pt>
                <c:pt idx="2">
                  <c:v>-229.60000000000002</c:v>
                </c:pt>
                <c:pt idx="3">
                  <c:v>-258.29999999999995</c:v>
                </c:pt>
                <c:pt idx="4">
                  <c:v>-287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A-4CEC-9C5B-25CE3213B6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56307647"/>
        <c:axId val="556304767"/>
      </c:barChart>
      <c:catAx>
        <c:axId val="556307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304767"/>
        <c:crosses val="autoZero"/>
        <c:auto val="1"/>
        <c:lblAlgn val="ctr"/>
        <c:lblOffset val="100"/>
        <c:noMultiLvlLbl val="0"/>
      </c:catAx>
      <c:valAx>
        <c:axId val="556304767"/>
        <c:scaling>
          <c:orientation val="minMax"/>
        </c:scaling>
        <c:delete val="1"/>
        <c:axPos val="l"/>
        <c:title>
          <c:tx>
            <c:strRef>
              <c:f>'TOU Tariff Comparison LS'!$O$25:$O$26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556307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LS'!$C$35</c:f>
          <c:strCache>
            <c:ptCount val="1"/>
            <c:pt idx="0">
              <c:v>Low Season D TOU Tariff 4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LS'!$B$38:$B$42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LS'!$P$38:$P$42</c:f>
              <c:numCache>
                <c:formatCode>0.00%</c:formatCode>
                <c:ptCount val="5"/>
                <c:pt idx="0">
                  <c:v>0.25249169435215946</c:v>
                </c:pt>
                <c:pt idx="1">
                  <c:v>0.2524916943521594</c:v>
                </c:pt>
                <c:pt idx="2">
                  <c:v>0.25249169435215951</c:v>
                </c:pt>
                <c:pt idx="3">
                  <c:v>0.25249169435215962</c:v>
                </c:pt>
                <c:pt idx="4">
                  <c:v>0.25249169435215946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3-4ECE-96EC-B233653BC57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55320127"/>
        <c:axId val="1355311487"/>
      </c:barChart>
      <c:catAx>
        <c:axId val="1355320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5311487"/>
        <c:crosses val="autoZero"/>
        <c:auto val="1"/>
        <c:lblAlgn val="ctr"/>
        <c:lblOffset val="100"/>
        <c:noMultiLvlLbl val="0"/>
      </c:catAx>
      <c:valAx>
        <c:axId val="1355311487"/>
        <c:scaling>
          <c:orientation val="minMax"/>
        </c:scaling>
        <c:delete val="1"/>
        <c:axPos val="l"/>
        <c:title>
          <c:tx>
            <c:strRef>
              <c:f>'TOU Tariff Comparison LS'!$P$36:$P$37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355320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LS'!$C$35</c:f>
          <c:strCache>
            <c:ptCount val="1"/>
            <c:pt idx="0">
              <c:v>Low Season D TOU Tariff 4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LS'!$B$38:$B$42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LS'!$O$38:$O$42</c:f>
              <c:numCache>
                <c:formatCode>"R"#,##0.00</c:formatCode>
                <c:ptCount val="5"/>
                <c:pt idx="0">
                  <c:v>182.39999999999998</c:v>
                </c:pt>
                <c:pt idx="1">
                  <c:v>212.79999999999995</c:v>
                </c:pt>
                <c:pt idx="2">
                  <c:v>243.20000000000005</c:v>
                </c:pt>
                <c:pt idx="3">
                  <c:v>273.60000000000014</c:v>
                </c:pt>
                <c:pt idx="4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5-4612-B152-05992A6749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48674463"/>
        <c:axId val="448672063"/>
      </c:barChart>
      <c:catAx>
        <c:axId val="448674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672063"/>
        <c:crosses val="autoZero"/>
        <c:auto val="1"/>
        <c:lblAlgn val="ctr"/>
        <c:lblOffset val="100"/>
        <c:noMultiLvlLbl val="0"/>
      </c:catAx>
      <c:valAx>
        <c:axId val="448672063"/>
        <c:scaling>
          <c:orientation val="minMax"/>
        </c:scaling>
        <c:delete val="1"/>
        <c:axPos val="l"/>
        <c:title>
          <c:tx>
            <c:strRef>
              <c:f>'TOU Tariff Comparison LS'!$O$36:$O$37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448674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LS'!$C$46</c:f>
          <c:strCache>
            <c:ptCount val="1"/>
            <c:pt idx="0">
              <c:v>Low Season E TOU Tariff 5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LS'!$B$49:$B$55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LS'!$P$49:$P$55</c:f>
              <c:numCache>
                <c:formatCode>0.00%</c:formatCode>
                <c:ptCount val="7"/>
                <c:pt idx="0">
                  <c:v>-0.46714285714285714</c:v>
                </c:pt>
                <c:pt idx="1">
                  <c:v>-0.46714285714285714</c:v>
                </c:pt>
                <c:pt idx="2">
                  <c:v>-0.46714285714285714</c:v>
                </c:pt>
                <c:pt idx="3">
                  <c:v>-0.46714285714285714</c:v>
                </c:pt>
                <c:pt idx="4">
                  <c:v>-0.46714285714285714</c:v>
                </c:pt>
                <c:pt idx="5">
                  <c:v>-0.46714285714285714</c:v>
                </c:pt>
                <c:pt idx="6">
                  <c:v>-0.46714285714285714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1-43BF-9C8C-D8804CE1AB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5409183"/>
        <c:axId val="545415423"/>
      </c:barChart>
      <c:catAx>
        <c:axId val="5454091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415423"/>
        <c:crosses val="autoZero"/>
        <c:auto val="1"/>
        <c:lblAlgn val="ctr"/>
        <c:lblOffset val="100"/>
        <c:noMultiLvlLbl val="0"/>
      </c:catAx>
      <c:valAx>
        <c:axId val="545415423"/>
        <c:scaling>
          <c:orientation val="minMax"/>
        </c:scaling>
        <c:delete val="1"/>
        <c:axPos val="l"/>
        <c:title>
          <c:tx>
            <c:strRef>
              <c:f>'TOU Tariff Comparison LS'!$P$47:$P$48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4540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'Tariffs Inputs'!$O$61:$S$61</c:f>
          <c:strCache>
            <c:ptCount val="5"/>
            <c:pt idx="0">
              <c:v>TOU Overall comparison Year 2 vs Year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'Tariffs Inputs'!$O$63</c:f>
              <c:strCache>
                <c:ptCount val="1"/>
                <c:pt idx="0">
                  <c:v>Basic/Fixed Charge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Inputs'!$O$64:$O$73</c:f>
              <c:numCache>
                <c:formatCode>0.00%</c:formatCode>
                <c:ptCount val="10"/>
                <c:pt idx="0">
                  <c:v>-0.33333333333333331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0.17202974722513723</c:v>
                </c:pt>
                <c:pt idx="6">
                  <c:v>0.76966036493135703</c:v>
                </c:pt>
                <c:pt idx="7">
                  <c:v>-0.37544610992148464</c:v>
                </c:pt>
                <c:pt idx="8">
                  <c:v>8.0640612699254516E-2</c:v>
                </c:pt>
                <c:pt idx="9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6-4725-B843-3BC7D062B365}"/>
            </c:ext>
          </c:extLst>
        </c:ser>
        <c:ser>
          <c:idx val="1"/>
          <c:order val="1"/>
          <c:tx>
            <c:strRef>
              <c:f>'Tariffs Inputs'!$P$63</c:f>
              <c:strCache>
                <c:ptCount val="1"/>
                <c:pt idx="0">
                  <c:v>Demand Charge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Inputs'!$P$64:$P$73</c:f>
              <c:numCache>
                <c:formatCode>0.00%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0.16959064327485379</c:v>
                </c:pt>
                <c:pt idx="6">
                  <c:v>0.21794871794871795</c:v>
                </c:pt>
                <c:pt idx="7">
                  <c:v>0.40125391849529779</c:v>
                </c:pt>
                <c:pt idx="8">
                  <c:v>0.12994350282485875</c:v>
                </c:pt>
                <c:pt idx="9">
                  <c:v>0.29874213836477986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6-4725-B843-3BC7D062B365}"/>
            </c:ext>
          </c:extLst>
        </c:ser>
        <c:ser>
          <c:idx val="2"/>
          <c:order val="2"/>
          <c:tx>
            <c:strRef>
              <c:f>'Tariffs Inputs'!$Q$63</c:f>
              <c:strCache>
                <c:ptCount val="1"/>
                <c:pt idx="0">
                  <c:v>Peak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Inputs'!$Q$64:$Q$73</c:f>
              <c:numCache>
                <c:formatCode>0.00%</c:formatCode>
                <c:ptCount val="10"/>
                <c:pt idx="0">
                  <c:v>-2.6315789473684178E-2</c:v>
                </c:pt>
                <c:pt idx="1">
                  <c:v>-7.0967741935483844E-2</c:v>
                </c:pt>
                <c:pt idx="2">
                  <c:v>-0.11235955056179769</c:v>
                </c:pt>
                <c:pt idx="3">
                  <c:v>-0.19247787610619474</c:v>
                </c:pt>
                <c:pt idx="4">
                  <c:v>-0.22448979591836735</c:v>
                </c:pt>
                <c:pt idx="5">
                  <c:v>-9.4076655052264826E-2</c:v>
                </c:pt>
                <c:pt idx="6">
                  <c:v>1.3157894736842118E-2</c:v>
                </c:pt>
                <c:pt idx="7">
                  <c:v>7.4130105900151219E-2</c:v>
                </c:pt>
                <c:pt idx="8">
                  <c:v>-0.16572717023675304</c:v>
                </c:pt>
                <c:pt idx="9">
                  <c:v>4.1666666666666644E-2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6-4725-B843-3BC7D062B365}"/>
            </c:ext>
          </c:extLst>
        </c:ser>
        <c:ser>
          <c:idx val="3"/>
          <c:order val="3"/>
          <c:tx>
            <c:strRef>
              <c:f>'Tariffs Inputs'!$R$63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Inputs'!$R$64:$R$73</c:f>
              <c:numCache>
                <c:formatCode>0.00%</c:formatCode>
                <c:ptCount val="10"/>
                <c:pt idx="0">
                  <c:v>0.54545454545454541</c:v>
                </c:pt>
                <c:pt idx="1">
                  <c:v>0.5</c:v>
                </c:pt>
                <c:pt idx="2">
                  <c:v>0.59090909090909083</c:v>
                </c:pt>
                <c:pt idx="3">
                  <c:v>0.46363636363636362</c:v>
                </c:pt>
                <c:pt idx="4">
                  <c:v>0.5636363636363636</c:v>
                </c:pt>
                <c:pt idx="5">
                  <c:v>0.68181818181818177</c:v>
                </c:pt>
                <c:pt idx="6">
                  <c:v>0.52272727272727271</c:v>
                </c:pt>
                <c:pt idx="7">
                  <c:v>0.63636363636363635</c:v>
                </c:pt>
                <c:pt idx="8">
                  <c:v>0.57727272727272727</c:v>
                </c:pt>
                <c:pt idx="9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6-4725-B843-3BC7D062B365}"/>
            </c:ext>
          </c:extLst>
        </c:ser>
        <c:ser>
          <c:idx val="4"/>
          <c:order val="4"/>
          <c:tx>
            <c:strRef>
              <c:f>'Tariffs Inputs'!$S$63</c:f>
              <c:strCache>
                <c:ptCount val="1"/>
                <c:pt idx="0">
                  <c:v>Off-peak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'Tariffs Inputs'!$I$64:$I$73</c:f>
              <c:strCache>
                <c:ptCount val="10"/>
                <c:pt idx="0">
                  <c:v>TOU Tariff 1</c:v>
                </c:pt>
                <c:pt idx="1">
                  <c:v>TOU Tariff 2</c:v>
                </c:pt>
                <c:pt idx="2">
                  <c:v>TOU Tariff 3</c:v>
                </c:pt>
                <c:pt idx="3">
                  <c:v>TOU Tariff 4</c:v>
                </c:pt>
                <c:pt idx="4">
                  <c:v>TOU Tariff 5</c:v>
                </c:pt>
                <c:pt idx="5">
                  <c:v>TOU Tariff 6</c:v>
                </c:pt>
                <c:pt idx="6">
                  <c:v>TOU Tariff 7</c:v>
                </c:pt>
                <c:pt idx="7">
                  <c:v>TOU Tariff 8</c:v>
                </c:pt>
                <c:pt idx="8">
                  <c:v>TOU Tariff 9</c:v>
                </c:pt>
                <c:pt idx="9">
                  <c:v>TOU Tariff 10</c:v>
                </c:pt>
              </c:strCache>
            </c:strRef>
          </c:cat>
          <c:val>
            <c:numRef>
              <c:f>'Tariffs Inputs'!$S$64:$S$73</c:f>
              <c:numCache>
                <c:formatCode>0.00%</c:formatCode>
                <c:ptCount val="10"/>
                <c:pt idx="0">
                  <c:v>0.18285714285714283</c:v>
                </c:pt>
                <c:pt idx="1">
                  <c:v>0.13714285714285715</c:v>
                </c:pt>
                <c:pt idx="2">
                  <c:v>0.10857142857142854</c:v>
                </c:pt>
                <c:pt idx="3">
                  <c:v>0.18285714285714288</c:v>
                </c:pt>
                <c:pt idx="4">
                  <c:v>0.10285714285714283</c:v>
                </c:pt>
                <c:pt idx="5">
                  <c:v>0.11999999999999998</c:v>
                </c:pt>
                <c:pt idx="6">
                  <c:v>0.23999999999999996</c:v>
                </c:pt>
                <c:pt idx="7">
                  <c:v>0.42857142857142855</c:v>
                </c:pt>
                <c:pt idx="8">
                  <c:v>0.26857142857142852</c:v>
                </c:pt>
                <c:pt idx="9">
                  <c:v>9.1428571428571512E-2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6-4725-B843-3BC7D062B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49862575"/>
        <c:axId val="449865455"/>
      </c:barChart>
      <c:catAx>
        <c:axId val="44986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865455"/>
        <c:crosses val="autoZero"/>
        <c:auto val="1"/>
        <c:lblAlgn val="ctr"/>
        <c:lblOffset val="100"/>
        <c:noMultiLvlLbl val="0"/>
      </c:catAx>
      <c:valAx>
        <c:axId val="449865455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4986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LS'!$C$46</c:f>
          <c:strCache>
            <c:ptCount val="1"/>
            <c:pt idx="0">
              <c:v>Low Season E TOU Tariff 5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LS'!$B$49:$B$55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LS'!$O$49:$O$55</c:f>
              <c:numCache>
                <c:formatCode>"R"#,##0.00</c:formatCode>
                <c:ptCount val="7"/>
                <c:pt idx="0">
                  <c:v>-6540</c:v>
                </c:pt>
                <c:pt idx="1">
                  <c:v>-10464</c:v>
                </c:pt>
                <c:pt idx="2">
                  <c:v>-13080</c:v>
                </c:pt>
                <c:pt idx="3">
                  <c:v>-19620</c:v>
                </c:pt>
                <c:pt idx="4">
                  <c:v>-26160</c:v>
                </c:pt>
                <c:pt idx="5">
                  <c:v>-32700</c:v>
                </c:pt>
                <c:pt idx="6">
                  <c:v>-39240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4-41FA-B663-88880566A90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30772815"/>
        <c:axId val="230771855"/>
      </c:barChart>
      <c:catAx>
        <c:axId val="230772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771855"/>
        <c:crosses val="autoZero"/>
        <c:auto val="1"/>
        <c:lblAlgn val="ctr"/>
        <c:lblOffset val="100"/>
        <c:noMultiLvlLbl val="0"/>
      </c:catAx>
      <c:valAx>
        <c:axId val="230771855"/>
        <c:scaling>
          <c:orientation val="minMax"/>
        </c:scaling>
        <c:delete val="1"/>
        <c:axPos val="l"/>
        <c:title>
          <c:tx>
            <c:strRef>
              <c:f>'TOU Tariff Comparison LS'!$O$47:$O$48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23077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LS'!$C$59</c:f>
          <c:strCache>
            <c:ptCount val="1"/>
            <c:pt idx="0">
              <c:v>Low Season F TOU Tariff 6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LS'!$B$62:$B$68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LS'!$P$62:$P$68</c:f>
              <c:numCache>
                <c:formatCode>0.00%</c:formatCode>
                <c:ptCount val="7"/>
                <c:pt idx="0">
                  <c:v>-7.5335983342797647E-2</c:v>
                </c:pt>
                <c:pt idx="1">
                  <c:v>-8.5366634646173556E-2</c:v>
                </c:pt>
                <c:pt idx="2">
                  <c:v>-8.9089089089089094E-2</c:v>
                </c:pt>
                <c:pt idx="3">
                  <c:v>-9.4393342093736315E-2</c:v>
                </c:pt>
                <c:pt idx="4">
                  <c:v>-9.7204769484236689E-2</c:v>
                </c:pt>
                <c:pt idx="5">
                  <c:v>-9.8946321168543391E-2</c:v>
                </c:pt>
                <c:pt idx="6">
                  <c:v>-0.10013107653729983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C-4497-95F5-4F1FAD5A2BB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76341551"/>
        <c:axId val="1376338671"/>
      </c:barChart>
      <c:catAx>
        <c:axId val="1376341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6338671"/>
        <c:crosses val="autoZero"/>
        <c:auto val="1"/>
        <c:lblAlgn val="ctr"/>
        <c:lblOffset val="100"/>
        <c:noMultiLvlLbl val="0"/>
      </c:catAx>
      <c:valAx>
        <c:axId val="1376338671"/>
        <c:scaling>
          <c:orientation val="minMax"/>
        </c:scaling>
        <c:delete val="1"/>
        <c:axPos val="l"/>
        <c:title>
          <c:tx>
            <c:strRef>
              <c:f>'TOU Tariff Comparison LS'!$P$60:$P$61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37634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LS'!$C$59</c:f>
          <c:strCache>
            <c:ptCount val="1"/>
            <c:pt idx="0">
              <c:v>Low Season F TOU Tariff 6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LS'!$B$62:$B$68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LS'!$O$62:$O$68</c:f>
              <c:numCache>
                <c:formatCode>"R"#,##0.00</c:formatCode>
                <c:ptCount val="7"/>
                <c:pt idx="0">
                  <c:v>-796</c:v>
                </c:pt>
                <c:pt idx="1">
                  <c:v>-1333</c:v>
                </c:pt>
                <c:pt idx="2">
                  <c:v>-1691</c:v>
                </c:pt>
                <c:pt idx="3">
                  <c:v>-2586</c:v>
                </c:pt>
                <c:pt idx="4">
                  <c:v>-3481</c:v>
                </c:pt>
                <c:pt idx="5">
                  <c:v>-4376</c:v>
                </c:pt>
                <c:pt idx="6">
                  <c:v>-5271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3-4626-B273-E958883B392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96295887"/>
        <c:axId val="1396291087"/>
      </c:barChart>
      <c:catAx>
        <c:axId val="1396295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291087"/>
        <c:crosses val="autoZero"/>
        <c:auto val="1"/>
        <c:lblAlgn val="ctr"/>
        <c:lblOffset val="100"/>
        <c:noMultiLvlLbl val="0"/>
      </c:catAx>
      <c:valAx>
        <c:axId val="1396291087"/>
        <c:scaling>
          <c:orientation val="minMax"/>
        </c:scaling>
        <c:delete val="1"/>
        <c:axPos val="l"/>
        <c:title>
          <c:tx>
            <c:strRef>
              <c:f>'TOU Tariff Comparison LS'!$O$60:$O$61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396295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LS'!$C$72</c:f>
          <c:strCache>
            <c:ptCount val="1"/>
            <c:pt idx="0">
              <c:v>Low Season G TOU Tariff 7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LS'!$B$75:$B$81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LS'!$P$75:$P$81</c:f>
              <c:numCache>
                <c:formatCode>0.00%</c:formatCode>
                <c:ptCount val="7"/>
                <c:pt idx="0">
                  <c:v>0.179788623678898</c:v>
                </c:pt>
                <c:pt idx="1">
                  <c:v>0.17357987672830252</c:v>
                </c:pt>
                <c:pt idx="2">
                  <c:v>0.171158655181995</c:v>
                </c:pt>
                <c:pt idx="3">
                  <c:v>0.16759118354523586</c:v>
                </c:pt>
                <c:pt idx="4">
                  <c:v>0.16564184316404768</c:v>
                </c:pt>
                <c:pt idx="5">
                  <c:v>0.16441322978868228</c:v>
                </c:pt>
                <c:pt idx="6">
                  <c:v>0.16356799665761437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6-4D27-828B-4A48E3F548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30780495"/>
        <c:axId val="230780015"/>
      </c:barChart>
      <c:catAx>
        <c:axId val="230780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780015"/>
        <c:crosses val="autoZero"/>
        <c:auto val="1"/>
        <c:lblAlgn val="ctr"/>
        <c:lblOffset val="100"/>
        <c:noMultiLvlLbl val="0"/>
      </c:catAx>
      <c:valAx>
        <c:axId val="230780015"/>
        <c:scaling>
          <c:orientation val="minMax"/>
        </c:scaling>
        <c:delete val="1"/>
        <c:axPos val="l"/>
        <c:title>
          <c:tx>
            <c:strRef>
              <c:f>'TOU Tariff Comparison LS'!$P$73:$P$74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230780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LS'!$C$72</c:f>
          <c:strCache>
            <c:ptCount val="1"/>
            <c:pt idx="0">
              <c:v>Low Season G TOU Tariff 7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LS'!$B$75:$B$81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LS'!$O$75:$O$81</c:f>
              <c:numCache>
                <c:formatCode>"R"#,##0.00</c:formatCode>
                <c:ptCount val="7"/>
                <c:pt idx="0">
                  <c:v>1514</c:v>
                </c:pt>
                <c:pt idx="1">
                  <c:v>2084</c:v>
                </c:pt>
                <c:pt idx="2">
                  <c:v>2464</c:v>
                </c:pt>
                <c:pt idx="3">
                  <c:v>3414</c:v>
                </c:pt>
                <c:pt idx="4">
                  <c:v>4364</c:v>
                </c:pt>
                <c:pt idx="5">
                  <c:v>5314</c:v>
                </c:pt>
                <c:pt idx="6">
                  <c:v>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7-488C-8D09-BD8CE352F9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90051023"/>
        <c:axId val="1390061583"/>
      </c:barChart>
      <c:catAx>
        <c:axId val="1390051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0061583"/>
        <c:crosses val="autoZero"/>
        <c:auto val="1"/>
        <c:lblAlgn val="ctr"/>
        <c:lblOffset val="100"/>
        <c:noMultiLvlLbl val="0"/>
      </c:catAx>
      <c:valAx>
        <c:axId val="1390061583"/>
        <c:scaling>
          <c:orientation val="minMax"/>
        </c:scaling>
        <c:delete val="1"/>
        <c:axPos val="l"/>
        <c:title>
          <c:tx>
            <c:strRef>
              <c:f>'TOU Tariff Comparison LS'!$O$73:$O$74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390051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LS'!$C$85</c:f>
          <c:strCache>
            <c:ptCount val="1"/>
            <c:pt idx="0">
              <c:v>Low Season H TOU Tariff 8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LS'!$B$88:$B$94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LS'!$P$88:$P$94</c:f>
              <c:numCache>
                <c:formatCode>0.00%</c:formatCode>
                <c:ptCount val="7"/>
                <c:pt idx="0">
                  <c:v>7.1309501759585114E-2</c:v>
                </c:pt>
                <c:pt idx="1">
                  <c:v>9.1319052987598653E-2</c:v>
                </c:pt>
                <c:pt idx="2">
                  <c:v>0.1000729276395754</c:v>
                </c:pt>
                <c:pt idx="3">
                  <c:v>0.11411945608586849</c:v>
                </c:pt>
                <c:pt idx="4">
                  <c:v>0.12244309997118986</c:v>
                </c:pt>
                <c:pt idx="5">
                  <c:v>0.12794941859305503</c:v>
                </c:pt>
                <c:pt idx="6">
                  <c:v>0.13186175838422434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2-475B-B907-D43095C4E1D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56188127"/>
        <c:axId val="556184287"/>
      </c:barChart>
      <c:catAx>
        <c:axId val="55618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184287"/>
        <c:crosses val="autoZero"/>
        <c:auto val="1"/>
        <c:lblAlgn val="ctr"/>
        <c:lblOffset val="100"/>
        <c:noMultiLvlLbl val="0"/>
      </c:catAx>
      <c:valAx>
        <c:axId val="556184287"/>
        <c:scaling>
          <c:orientation val="minMax"/>
        </c:scaling>
        <c:delete val="1"/>
        <c:axPos val="l"/>
        <c:title>
          <c:tx>
            <c:strRef>
              <c:f>'TOU Tariff Comparison LS'!$P$86:$P$87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56188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LS'!$C$85</c:f>
          <c:strCache>
            <c:ptCount val="1"/>
            <c:pt idx="0">
              <c:v>Low Season H TOU Tariff 8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LS'!$B$88:$B$94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LS'!$O$88:$O$94</c:f>
              <c:numCache>
                <c:formatCode>"R"#,##0.00</c:formatCode>
                <c:ptCount val="7"/>
                <c:pt idx="0">
                  <c:v>577.5</c:v>
                </c:pt>
                <c:pt idx="1">
                  <c:v>972</c:v>
                </c:pt>
                <c:pt idx="2">
                  <c:v>1235</c:v>
                </c:pt>
                <c:pt idx="3">
                  <c:v>1892.5</c:v>
                </c:pt>
                <c:pt idx="4">
                  <c:v>2550</c:v>
                </c:pt>
                <c:pt idx="5">
                  <c:v>3207.5</c:v>
                </c:pt>
                <c:pt idx="6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6-41A5-BC2F-0E4B5DA3B4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70425599"/>
        <c:axId val="1470423679"/>
      </c:barChart>
      <c:catAx>
        <c:axId val="1470425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423679"/>
        <c:crosses val="autoZero"/>
        <c:auto val="1"/>
        <c:lblAlgn val="ctr"/>
        <c:lblOffset val="100"/>
        <c:noMultiLvlLbl val="0"/>
      </c:catAx>
      <c:valAx>
        <c:axId val="1470423679"/>
        <c:scaling>
          <c:orientation val="minMax"/>
        </c:scaling>
        <c:delete val="1"/>
        <c:axPos val="l"/>
        <c:title>
          <c:tx>
            <c:strRef>
              <c:f>'TOU Tariff Comparison LS'!$O$86:$O$87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47042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LS'!$C$98</c:f>
          <c:strCache>
            <c:ptCount val="1"/>
            <c:pt idx="0">
              <c:v>Low Season I TOU Tariff 9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LS'!$B$101:$B$107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LS'!$P$101:$P$107</c:f>
              <c:numCache>
                <c:formatCode>0.00%</c:formatCode>
                <c:ptCount val="7"/>
                <c:pt idx="0">
                  <c:v>-0.13832911032702649</c:v>
                </c:pt>
                <c:pt idx="1">
                  <c:v>-0.13922714530895444</c:v>
                </c:pt>
                <c:pt idx="2">
                  <c:v>-0.13958161181013834</c:v>
                </c:pt>
                <c:pt idx="3">
                  <c:v>-0.14010832046026855</c:v>
                </c:pt>
                <c:pt idx="4">
                  <c:v>-0.14039838068871396</c:v>
                </c:pt>
                <c:pt idx="5">
                  <c:v>-0.14058202417561283</c:v>
                </c:pt>
                <c:pt idx="6">
                  <c:v>-0.14070873632207886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D-40C7-A362-9F0551CDC76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05640703"/>
        <c:axId val="505645023"/>
      </c:barChart>
      <c:catAx>
        <c:axId val="505640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45023"/>
        <c:crosses val="autoZero"/>
        <c:auto val="1"/>
        <c:lblAlgn val="ctr"/>
        <c:lblOffset val="100"/>
        <c:noMultiLvlLbl val="0"/>
      </c:catAx>
      <c:valAx>
        <c:axId val="505645023"/>
        <c:scaling>
          <c:orientation val="minMax"/>
        </c:scaling>
        <c:delete val="1"/>
        <c:axPos val="l"/>
        <c:title>
          <c:tx>
            <c:strRef>
              <c:f>'TOU Tariff Comparison LS'!$P$99:$P$100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50564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LS'!$C$98</c:f>
          <c:strCache>
            <c:ptCount val="1"/>
            <c:pt idx="0">
              <c:v>Low Season I TOU Tariff 9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LS'!$B$101:$B$107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LS'!$O$101:$O$107</c:f>
              <c:numCache>
                <c:formatCode>"R"#,##0.00</c:formatCode>
                <c:ptCount val="7"/>
                <c:pt idx="0">
                  <c:v>-1869.2800000000007</c:v>
                </c:pt>
                <c:pt idx="1">
                  <c:v>-2659.1800000000003</c:v>
                </c:pt>
                <c:pt idx="2">
                  <c:v>-3185.7799999999988</c:v>
                </c:pt>
                <c:pt idx="3">
                  <c:v>-4502.2799999999988</c:v>
                </c:pt>
                <c:pt idx="4">
                  <c:v>-5818.7799999999988</c:v>
                </c:pt>
                <c:pt idx="5">
                  <c:v>-7135.2799999999988</c:v>
                </c:pt>
                <c:pt idx="6">
                  <c:v>-8451.7799999999988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C-43CB-A21D-0AC00BC429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05646943"/>
        <c:axId val="505641183"/>
      </c:barChart>
      <c:catAx>
        <c:axId val="505646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641183"/>
        <c:crosses val="autoZero"/>
        <c:auto val="1"/>
        <c:lblAlgn val="ctr"/>
        <c:lblOffset val="100"/>
        <c:noMultiLvlLbl val="0"/>
      </c:catAx>
      <c:valAx>
        <c:axId val="505641183"/>
        <c:scaling>
          <c:orientation val="minMax"/>
        </c:scaling>
        <c:delete val="1"/>
        <c:axPos val="l"/>
        <c:title>
          <c:tx>
            <c:strRef>
              <c:f>'TOU Tariff Comparison LS'!$O$99:$O$100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50564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LS'!$C$111</c:f>
          <c:strCache>
            <c:ptCount val="1"/>
            <c:pt idx="0">
              <c:v>Low Season J TOU Tariff 10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LS'!$B$114:$B$120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LS'!$P$114:$P$120</c:f>
              <c:numCache>
                <c:formatCode>0.00%</c:formatCode>
                <c:ptCount val="7"/>
                <c:pt idx="0">
                  <c:v>0.40779510022271714</c:v>
                </c:pt>
                <c:pt idx="1">
                  <c:v>0.46423935412379302</c:v>
                </c:pt>
                <c:pt idx="2">
                  <c:v>0.48666224286662241</c:v>
                </c:pt>
                <c:pt idx="3">
                  <c:v>0.52013232514177699</c:v>
                </c:pt>
                <c:pt idx="4">
                  <c:v>0.53864220183486233</c:v>
                </c:pt>
                <c:pt idx="5">
                  <c:v>0.55038992201559689</c:v>
                </c:pt>
                <c:pt idx="6">
                  <c:v>0.55850874968298247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3-4B7B-8A69-83AB8DEE7C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67488287"/>
        <c:axId val="1467487327"/>
      </c:barChart>
      <c:catAx>
        <c:axId val="1467488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487327"/>
        <c:crosses val="autoZero"/>
        <c:auto val="1"/>
        <c:lblAlgn val="ctr"/>
        <c:lblOffset val="100"/>
        <c:noMultiLvlLbl val="0"/>
      </c:catAx>
      <c:valAx>
        <c:axId val="1467487327"/>
        <c:scaling>
          <c:orientation val="minMax"/>
        </c:scaling>
        <c:delete val="1"/>
        <c:axPos val="l"/>
        <c:title>
          <c:tx>
            <c:strRef>
              <c:f>'TOU Tariff Comparison LS'!$P$112:$P$113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467488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'Domestic FlatTariff comparison '!$C$1</c:f>
          <c:strCache>
            <c:ptCount val="1"/>
            <c:pt idx="0">
              <c:v>C Flat Tariff 3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'Domestic FlatTariff comparison '!$B$4:$B$8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'Domestic FlatTariff comparison '!$L$4:$L$8</c:f>
              <c:numCache>
                <c:formatCode>0.00%</c:formatCode>
                <c:ptCount val="5"/>
                <c:pt idx="0">
                  <c:v>1.4957264957264958E-2</c:v>
                </c:pt>
                <c:pt idx="1">
                  <c:v>1.098901098901099E-2</c:v>
                </c:pt>
                <c:pt idx="2">
                  <c:v>8.0128205128205121E-3</c:v>
                </c:pt>
                <c:pt idx="3">
                  <c:v>5.6980056980056983E-3</c:v>
                </c:pt>
                <c:pt idx="4">
                  <c:v>3.8461538461538464E-3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4-431B-89D9-DC04C911080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00942335"/>
        <c:axId val="900950975"/>
      </c:barChart>
      <c:catAx>
        <c:axId val="900942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950975"/>
        <c:crosses val="autoZero"/>
        <c:auto val="1"/>
        <c:lblAlgn val="ctr"/>
        <c:lblOffset val="100"/>
        <c:noMultiLvlLbl val="0"/>
      </c:catAx>
      <c:valAx>
        <c:axId val="900950975"/>
        <c:scaling>
          <c:orientation val="minMax"/>
        </c:scaling>
        <c:delete val="1"/>
        <c:axPos val="l"/>
        <c:title>
          <c:tx>
            <c:strRef>
              <c:f>'Domestic FlatTariff comparison '!$L$2:$L$3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900942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LS'!$C$111</c:f>
          <c:strCache>
            <c:ptCount val="1"/>
            <c:pt idx="0">
              <c:v>Low Season J TOU Tariff 10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LS'!$B$114:$B$120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LS'!$O$114:$O$120</c:f>
              <c:numCache>
                <c:formatCode>"R"#,##0.00</c:formatCode>
                <c:ptCount val="7"/>
                <c:pt idx="0">
                  <c:v>3662</c:v>
                </c:pt>
                <c:pt idx="1">
                  <c:v>5865.2000000000007</c:v>
                </c:pt>
                <c:pt idx="2">
                  <c:v>7334</c:v>
                </c:pt>
                <c:pt idx="3">
                  <c:v>11006</c:v>
                </c:pt>
                <c:pt idx="4">
                  <c:v>14678</c:v>
                </c:pt>
                <c:pt idx="5">
                  <c:v>18350</c:v>
                </c:pt>
                <c:pt idx="6">
                  <c:v>22022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A-4AAA-BD7B-A4F131BEE0A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2520495"/>
        <c:axId val="1022524335"/>
      </c:barChart>
      <c:catAx>
        <c:axId val="1022520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2524335"/>
        <c:crosses val="autoZero"/>
        <c:auto val="1"/>
        <c:lblAlgn val="ctr"/>
        <c:lblOffset val="100"/>
        <c:noMultiLvlLbl val="0"/>
      </c:catAx>
      <c:valAx>
        <c:axId val="1022524335"/>
        <c:scaling>
          <c:orientation val="minMax"/>
        </c:scaling>
        <c:delete val="1"/>
        <c:axPos val="l"/>
        <c:title>
          <c:tx>
            <c:strRef>
              <c:f>'TOU Tariff Comparison LS'!$O$112:$O$113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022520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HS'!$C$2</c:f>
          <c:strCache>
            <c:ptCount val="1"/>
            <c:pt idx="0">
              <c:v>High Season A TOU Tariff 1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HS'!$B$5:$B$9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HS'!$P$5:$P$9</c:f>
              <c:numCache>
                <c:formatCode>0.00%</c:formatCode>
                <c:ptCount val="5"/>
                <c:pt idx="0">
                  <c:v>0.13972055888223553</c:v>
                </c:pt>
                <c:pt idx="1">
                  <c:v>0.13943541488451669</c:v>
                </c:pt>
                <c:pt idx="2">
                  <c:v>0.13922155688622753</c:v>
                </c:pt>
                <c:pt idx="3">
                  <c:v>0.13905522288755823</c:v>
                </c:pt>
                <c:pt idx="4">
                  <c:v>0.13892215568862276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5-423C-AE07-D69584CBB5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25626639"/>
        <c:axId val="1425623279"/>
      </c:barChart>
      <c:catAx>
        <c:axId val="1425626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623279"/>
        <c:crosses val="autoZero"/>
        <c:auto val="1"/>
        <c:lblAlgn val="ctr"/>
        <c:lblOffset val="100"/>
        <c:noMultiLvlLbl val="0"/>
      </c:catAx>
      <c:valAx>
        <c:axId val="1425623279"/>
        <c:scaling>
          <c:orientation val="minMax"/>
        </c:scaling>
        <c:delete val="1"/>
        <c:axPos val="l"/>
        <c:title>
          <c:tx>
            <c:strRef>
              <c:f>'TOU Tariff Comparison HS'!$P$3:$P$4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42562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HS'!$C$2</c:f>
          <c:strCache>
            <c:ptCount val="1"/>
            <c:pt idx="0">
              <c:v>High Season A TOU Tariff 1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HS'!$B$5:$B$9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HS'!$O$5:$O$9</c:f>
              <c:numCache>
                <c:formatCode>"R"#,##0.00</c:formatCode>
                <c:ptCount val="5"/>
                <c:pt idx="0">
                  <c:v>140</c:v>
                </c:pt>
                <c:pt idx="1">
                  <c:v>163</c:v>
                </c:pt>
                <c:pt idx="2">
                  <c:v>186</c:v>
                </c:pt>
                <c:pt idx="3">
                  <c:v>209</c:v>
                </c:pt>
                <c:pt idx="4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A-4387-897E-9100221958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84323535"/>
        <c:axId val="1684324975"/>
      </c:barChart>
      <c:catAx>
        <c:axId val="1684323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324975"/>
        <c:crosses val="autoZero"/>
        <c:auto val="1"/>
        <c:lblAlgn val="ctr"/>
        <c:lblOffset val="100"/>
        <c:noMultiLvlLbl val="0"/>
      </c:catAx>
      <c:valAx>
        <c:axId val="1684324975"/>
        <c:scaling>
          <c:orientation val="minMax"/>
        </c:scaling>
        <c:delete val="1"/>
        <c:axPos val="l"/>
        <c:title>
          <c:tx>
            <c:strRef>
              <c:f>'TOU Tariff Comparison HS'!$O$3:$O$4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684323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HS'!$C$13</c:f>
          <c:strCache>
            <c:ptCount val="1"/>
            <c:pt idx="0">
              <c:v>High Season B TOU Tariff 2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HS'!$B$16:$B$20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HS'!$P$16:$P$20</c:f>
              <c:numCache>
                <c:formatCode>0.00%</c:formatCode>
                <c:ptCount val="5"/>
                <c:pt idx="0">
                  <c:v>0.10587002096436059</c:v>
                </c:pt>
                <c:pt idx="1">
                  <c:v>0.10557053009883198</c:v>
                </c:pt>
                <c:pt idx="2">
                  <c:v>0.10534591194968554</c:v>
                </c:pt>
                <c:pt idx="3">
                  <c:v>0.10517120894479386</c:v>
                </c:pt>
                <c:pt idx="4">
                  <c:v>0.10503144654088051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F-4F95-B16E-39A1AF649A1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30738543"/>
        <c:axId val="1230737103"/>
      </c:barChart>
      <c:catAx>
        <c:axId val="1230738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737103"/>
        <c:crosses val="autoZero"/>
        <c:auto val="1"/>
        <c:lblAlgn val="ctr"/>
        <c:lblOffset val="100"/>
        <c:noMultiLvlLbl val="0"/>
      </c:catAx>
      <c:valAx>
        <c:axId val="1230737103"/>
        <c:scaling>
          <c:orientation val="minMax"/>
        </c:scaling>
        <c:delete val="1"/>
        <c:axPos val="l"/>
        <c:title>
          <c:tx>
            <c:strRef>
              <c:f>'TOU Tariff Comparison HS'!$P$14:$P$15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23073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HS'!$C$13</c:f>
          <c:strCache>
            <c:ptCount val="1"/>
            <c:pt idx="0">
              <c:v>High Season B TOU Tariff 2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HS'!$B$16:$B$20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HS'!$O$16:$O$20</c:f>
              <c:numCache>
                <c:formatCode>"R"#,##0.00</c:formatCode>
                <c:ptCount val="5"/>
                <c:pt idx="0">
                  <c:v>101</c:v>
                </c:pt>
                <c:pt idx="1">
                  <c:v>117.5</c:v>
                </c:pt>
                <c:pt idx="2">
                  <c:v>134</c:v>
                </c:pt>
                <c:pt idx="3">
                  <c:v>150.5</c:v>
                </c:pt>
                <c:pt idx="4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D-45E1-822A-3798435D3A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5102063"/>
        <c:axId val="1705095343"/>
      </c:barChart>
      <c:catAx>
        <c:axId val="1705102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095343"/>
        <c:crosses val="autoZero"/>
        <c:auto val="1"/>
        <c:lblAlgn val="ctr"/>
        <c:lblOffset val="100"/>
        <c:noMultiLvlLbl val="0"/>
      </c:catAx>
      <c:valAx>
        <c:axId val="1705095343"/>
        <c:scaling>
          <c:orientation val="minMax"/>
        </c:scaling>
        <c:delete val="1"/>
        <c:axPos val="l"/>
        <c:title>
          <c:tx>
            <c:strRef>
              <c:f>'TOU Tariff Comparison HS'!$O$14:$O$15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70510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HS'!$C$24</c:f>
          <c:strCache>
            <c:ptCount val="1"/>
            <c:pt idx="0">
              <c:v>High Season C TOU Tariff 3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HS'!$B$27:$B$31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HS'!$P$27:$P$31</c:f>
              <c:numCache>
                <c:formatCode>0.00%</c:formatCode>
                <c:ptCount val="5"/>
                <c:pt idx="0">
                  <c:v>0.19413919413919414</c:v>
                </c:pt>
                <c:pt idx="1">
                  <c:v>0.19387755102040816</c:v>
                </c:pt>
                <c:pt idx="2">
                  <c:v>0.19368131868131869</c:v>
                </c:pt>
                <c:pt idx="3">
                  <c:v>0.19352869352869354</c:v>
                </c:pt>
                <c:pt idx="4">
                  <c:v>0.19340659340659341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C-453C-B70C-66124E22C1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45550079"/>
        <c:axId val="1345547199"/>
      </c:barChart>
      <c:catAx>
        <c:axId val="1345550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547199"/>
        <c:crosses val="autoZero"/>
        <c:auto val="1"/>
        <c:lblAlgn val="ctr"/>
        <c:lblOffset val="100"/>
        <c:noMultiLvlLbl val="0"/>
      </c:catAx>
      <c:valAx>
        <c:axId val="1345547199"/>
        <c:scaling>
          <c:orientation val="minMax"/>
        </c:scaling>
        <c:delete val="1"/>
        <c:axPos val="l"/>
        <c:title>
          <c:tx>
            <c:strRef>
              <c:f>'TOU Tariff Comparison HS'!$P$25:$P$26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345550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HS'!$C$24</c:f>
          <c:strCache>
            <c:ptCount val="1"/>
            <c:pt idx="0">
              <c:v>High Season C TOU Tariff 3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HS'!$B$27:$B$31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HS'!$O$27:$O$31</c:f>
              <c:numCache>
                <c:formatCode>"R"#,##0.00</c:formatCode>
                <c:ptCount val="5"/>
                <c:pt idx="0">
                  <c:v>212</c:v>
                </c:pt>
                <c:pt idx="1">
                  <c:v>247</c:v>
                </c:pt>
                <c:pt idx="2">
                  <c:v>282</c:v>
                </c:pt>
                <c:pt idx="3">
                  <c:v>317</c:v>
                </c:pt>
                <c:pt idx="4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4-4B66-99A3-40F585A8D8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23288575"/>
        <c:axId val="1723298175"/>
      </c:barChart>
      <c:catAx>
        <c:axId val="1723288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3298175"/>
        <c:crosses val="autoZero"/>
        <c:auto val="1"/>
        <c:lblAlgn val="ctr"/>
        <c:lblOffset val="100"/>
        <c:noMultiLvlLbl val="0"/>
      </c:catAx>
      <c:valAx>
        <c:axId val="1723298175"/>
        <c:scaling>
          <c:orientation val="minMax"/>
        </c:scaling>
        <c:delete val="1"/>
        <c:axPos val="l"/>
        <c:title>
          <c:tx>
            <c:strRef>
              <c:f>'TOU Tariff Comparison HS'!$O$25:$O$26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723288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HS'!$C$35</c:f>
          <c:strCache>
            <c:ptCount val="1"/>
            <c:pt idx="0">
              <c:v>High Season D TOU Tariff 4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HS'!$B$38:$B$42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HS'!$P$38:$P$42</c:f>
              <c:numCache>
                <c:formatCode>0.00%</c:formatCode>
                <c:ptCount val="5"/>
                <c:pt idx="0">
                  <c:v>0.10888888888888888</c:v>
                </c:pt>
                <c:pt idx="1">
                  <c:v>0.10857142857142857</c:v>
                </c:pt>
                <c:pt idx="2">
                  <c:v>0.10833333333333334</c:v>
                </c:pt>
                <c:pt idx="3">
                  <c:v>0.10814814814814815</c:v>
                </c:pt>
                <c:pt idx="4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7-4609-9F3C-993A324175D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65283375"/>
        <c:axId val="1765282415"/>
      </c:barChart>
      <c:catAx>
        <c:axId val="1765283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282415"/>
        <c:crosses val="autoZero"/>
        <c:auto val="1"/>
        <c:lblAlgn val="ctr"/>
        <c:lblOffset val="100"/>
        <c:noMultiLvlLbl val="0"/>
      </c:catAx>
      <c:valAx>
        <c:axId val="1765282415"/>
        <c:scaling>
          <c:orientation val="minMax"/>
        </c:scaling>
        <c:delete val="1"/>
        <c:axPos val="l"/>
        <c:title>
          <c:tx>
            <c:strRef>
              <c:f>'TOU Tariff Comparison HS'!$P$36:$P$37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76528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HS'!$C$35</c:f>
          <c:strCache>
            <c:ptCount val="1"/>
            <c:pt idx="0">
              <c:v>High Season D TOU Tariff 4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HS'!$B$38:$B$42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Tariff Comparison HS'!$O$38:$O$42</c:f>
              <c:numCache>
                <c:formatCode>"R"#,##0.00</c:formatCode>
                <c:ptCount val="5"/>
                <c:pt idx="0">
                  <c:v>98</c:v>
                </c:pt>
                <c:pt idx="1">
                  <c:v>114</c:v>
                </c:pt>
                <c:pt idx="2">
                  <c:v>130</c:v>
                </c:pt>
                <c:pt idx="3">
                  <c:v>146</c:v>
                </c:pt>
                <c:pt idx="4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C-4A14-89ED-ECC208A15B3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22563551"/>
        <c:axId val="1722564031"/>
      </c:barChart>
      <c:catAx>
        <c:axId val="1722563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564031"/>
        <c:crosses val="autoZero"/>
        <c:auto val="1"/>
        <c:lblAlgn val="ctr"/>
        <c:lblOffset val="100"/>
        <c:noMultiLvlLbl val="0"/>
      </c:catAx>
      <c:valAx>
        <c:axId val="1722564031"/>
        <c:scaling>
          <c:orientation val="minMax"/>
        </c:scaling>
        <c:delete val="1"/>
        <c:axPos val="l"/>
        <c:title>
          <c:tx>
            <c:strRef>
              <c:f>'TOU Tariff Comparison HS'!$O$36:$O$37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72256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HS'!$C$46</c:f>
          <c:strCache>
            <c:ptCount val="1"/>
            <c:pt idx="0">
              <c:v>High Season E TOU Tariff 5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HS'!$B$49:$B$55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HS'!$P$49:$P$55</c:f>
              <c:numCache>
                <c:formatCode>0.00%</c:formatCode>
                <c:ptCount val="7"/>
                <c:pt idx="0">
                  <c:v>0.13390728476821193</c:v>
                </c:pt>
                <c:pt idx="1">
                  <c:v>0.13385761589403974</c:v>
                </c:pt>
                <c:pt idx="2">
                  <c:v>0.133841059602649</c:v>
                </c:pt>
                <c:pt idx="3">
                  <c:v>0.13381898454746136</c:v>
                </c:pt>
                <c:pt idx="4">
                  <c:v>0.13380794701986756</c:v>
                </c:pt>
                <c:pt idx="5">
                  <c:v>0.13380132450331125</c:v>
                </c:pt>
                <c:pt idx="6">
                  <c:v>0.13379690949227374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4-4938-B1B9-D116014CAE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99543887"/>
        <c:axId val="1799548207"/>
      </c:barChart>
      <c:catAx>
        <c:axId val="1799543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9548207"/>
        <c:crosses val="autoZero"/>
        <c:auto val="1"/>
        <c:lblAlgn val="ctr"/>
        <c:lblOffset val="100"/>
        <c:noMultiLvlLbl val="0"/>
      </c:catAx>
      <c:valAx>
        <c:axId val="1799548207"/>
        <c:scaling>
          <c:orientation val="minMax"/>
        </c:scaling>
        <c:delete val="1"/>
        <c:axPos val="l"/>
        <c:title>
          <c:tx>
            <c:strRef>
              <c:f>'TOU Tariff Comparison HS'!$P$47:$P$48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7995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'Domestic FlatTariff comparison '!$C$11</c:f>
          <c:strCache>
            <c:ptCount val="1"/>
            <c:pt idx="0">
              <c:v>D Flat Tariff 4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'Domestic FlatTariff comparison '!$B$14:$B$18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'Domestic FlatTariff comparison '!$L$14:$L$18</c:f>
              <c:numCache>
                <c:formatCode>0.00%</c:formatCode>
                <c:ptCount val="5"/>
                <c:pt idx="0">
                  <c:v>1.6914191419141914E-2</c:v>
                </c:pt>
                <c:pt idx="1">
                  <c:v>1.3083451202263084E-2</c:v>
                </c:pt>
                <c:pt idx="2">
                  <c:v>1.0210396039603961E-2</c:v>
                </c:pt>
                <c:pt idx="3">
                  <c:v>7.9757975797579757E-3</c:v>
                </c:pt>
                <c:pt idx="4">
                  <c:v>6.1881188118811884E-3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5-4D7D-B9BD-1142EDDBD9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52603599"/>
        <c:axId val="952599279"/>
      </c:barChart>
      <c:catAx>
        <c:axId val="952603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599279"/>
        <c:crosses val="autoZero"/>
        <c:auto val="1"/>
        <c:lblAlgn val="ctr"/>
        <c:lblOffset val="100"/>
        <c:noMultiLvlLbl val="0"/>
      </c:catAx>
      <c:valAx>
        <c:axId val="952599279"/>
        <c:scaling>
          <c:orientation val="minMax"/>
        </c:scaling>
        <c:delete val="1"/>
        <c:axPos val="l"/>
        <c:title>
          <c:tx>
            <c:strRef>
              <c:f>'Domestic FlatTariff comparison '!$L$12:$L$13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952603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HS'!$C$46</c:f>
          <c:strCache>
            <c:ptCount val="1"/>
            <c:pt idx="0">
              <c:v>High Season E TOU Tariff 5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HS'!$B$49:$B$55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HS'!$O$49:$O$55</c:f>
              <c:numCache>
                <c:formatCode>"R"#,##0.00</c:formatCode>
                <c:ptCount val="7"/>
                <c:pt idx="0">
                  <c:v>2022</c:v>
                </c:pt>
                <c:pt idx="1">
                  <c:v>3234</c:v>
                </c:pt>
                <c:pt idx="2">
                  <c:v>4042</c:v>
                </c:pt>
                <c:pt idx="3">
                  <c:v>6062</c:v>
                </c:pt>
                <c:pt idx="4">
                  <c:v>8082</c:v>
                </c:pt>
                <c:pt idx="5">
                  <c:v>10102</c:v>
                </c:pt>
                <c:pt idx="6">
                  <c:v>12122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1-4DCF-B22D-60350751E3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79761103"/>
        <c:axId val="1279758223"/>
      </c:barChart>
      <c:catAx>
        <c:axId val="12797611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758223"/>
        <c:crosses val="autoZero"/>
        <c:auto val="1"/>
        <c:lblAlgn val="ctr"/>
        <c:lblOffset val="100"/>
        <c:noMultiLvlLbl val="0"/>
      </c:catAx>
      <c:valAx>
        <c:axId val="1279758223"/>
        <c:scaling>
          <c:orientation val="minMax"/>
        </c:scaling>
        <c:delete val="1"/>
        <c:axPos val="l"/>
        <c:title>
          <c:tx>
            <c:strRef>
              <c:f>'TOU Tariff Comparison HS'!$O$47:$O$48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27976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HS'!$C$59</c:f>
          <c:strCache>
            <c:ptCount val="1"/>
            <c:pt idx="0">
              <c:v>High Season F TOU Tariff 6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HS'!$B$62:$B$68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HS'!$P$62:$P$68</c:f>
              <c:numCache>
                <c:formatCode>0.00%</c:formatCode>
                <c:ptCount val="7"/>
                <c:pt idx="0">
                  <c:v>0.21935701469273863</c:v>
                </c:pt>
                <c:pt idx="1">
                  <c:v>0.21551548048914509</c:v>
                </c:pt>
                <c:pt idx="2">
                  <c:v>0.21412958722537168</c:v>
                </c:pt>
                <c:pt idx="3">
                  <c:v>0.21219051840466238</c:v>
                </c:pt>
                <c:pt idx="4">
                  <c:v>0.21117937720223262</c:v>
                </c:pt>
                <c:pt idx="5">
                  <c:v>0.21055868673112474</c:v>
                </c:pt>
                <c:pt idx="6">
                  <c:v>0.21013888797467395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4-48A4-BC57-84C4DE32DC5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09261407"/>
        <c:axId val="1809259967"/>
      </c:barChart>
      <c:catAx>
        <c:axId val="1809261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9259967"/>
        <c:crosses val="autoZero"/>
        <c:auto val="1"/>
        <c:lblAlgn val="ctr"/>
        <c:lblOffset val="100"/>
        <c:noMultiLvlLbl val="0"/>
      </c:catAx>
      <c:valAx>
        <c:axId val="1809259967"/>
        <c:scaling>
          <c:orientation val="minMax"/>
        </c:scaling>
        <c:delete val="1"/>
        <c:axPos val="l"/>
        <c:title>
          <c:tx>
            <c:strRef>
              <c:f>'TOU Tariff Comparison HS'!$P$60:$P$61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809261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HS'!$C$59</c:f>
          <c:strCache>
            <c:ptCount val="1"/>
            <c:pt idx="0">
              <c:v>High Season F TOU Tariff 6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HS'!$B$62:$B$68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HS'!$O$62:$O$68</c:f>
              <c:numCache>
                <c:formatCode>"R"#,##0.00</c:formatCode>
                <c:ptCount val="7"/>
                <c:pt idx="0">
                  <c:v>2923.3042052538003</c:v>
                </c:pt>
                <c:pt idx="1">
                  <c:v>4333.3042052538003</c:v>
                </c:pt>
                <c:pt idx="2">
                  <c:v>5273.3042052538003</c:v>
                </c:pt>
                <c:pt idx="3">
                  <c:v>7623.3042052538003</c:v>
                </c:pt>
                <c:pt idx="4">
                  <c:v>9973.3042052538003</c:v>
                </c:pt>
                <c:pt idx="5">
                  <c:v>12323.3042052538</c:v>
                </c:pt>
                <c:pt idx="6">
                  <c:v>14673.304205253808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C-40CE-B6B3-8152A590D5A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11959503"/>
        <c:axId val="1711956143"/>
      </c:barChart>
      <c:catAx>
        <c:axId val="1711959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1956143"/>
        <c:crosses val="autoZero"/>
        <c:auto val="1"/>
        <c:lblAlgn val="ctr"/>
        <c:lblOffset val="100"/>
        <c:noMultiLvlLbl val="0"/>
      </c:catAx>
      <c:valAx>
        <c:axId val="1711956143"/>
        <c:scaling>
          <c:orientation val="minMax"/>
        </c:scaling>
        <c:delete val="1"/>
        <c:axPos val="l"/>
        <c:title>
          <c:tx>
            <c:strRef>
              <c:f>'TOU Tariff Comparison HS'!$O$60:$O$61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711959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HS'!$C$72</c:f>
          <c:strCache>
            <c:ptCount val="1"/>
            <c:pt idx="0">
              <c:v>High Season G TOU Tariff 7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HS'!$B$75:$B$81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HS'!$P$75:$P$81</c:f>
              <c:numCache>
                <c:formatCode>0.00%</c:formatCode>
                <c:ptCount val="7"/>
                <c:pt idx="0">
                  <c:v>0.30649702876512142</c:v>
                </c:pt>
                <c:pt idx="1">
                  <c:v>0.27328014550899682</c:v>
                </c:pt>
                <c:pt idx="2">
                  <c:v>0.26121310003564269</c:v>
                </c:pt>
                <c:pt idx="3">
                  <c:v>0.24425446974469969</c:v>
                </c:pt>
                <c:pt idx="4">
                  <c:v>0.23537634266647192</c:v>
                </c:pt>
                <c:pt idx="5">
                  <c:v>0.22991457531298393</c:v>
                </c:pt>
                <c:pt idx="6">
                  <c:v>0.22621540204608909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0-4132-ABAF-971514CCF4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70241455"/>
        <c:axId val="1370243855"/>
      </c:barChart>
      <c:catAx>
        <c:axId val="1370241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243855"/>
        <c:crosses val="autoZero"/>
        <c:auto val="1"/>
        <c:lblAlgn val="ctr"/>
        <c:lblOffset val="100"/>
        <c:noMultiLvlLbl val="0"/>
      </c:catAx>
      <c:valAx>
        <c:axId val="1370243855"/>
        <c:scaling>
          <c:orientation val="minMax"/>
        </c:scaling>
        <c:delete val="1"/>
        <c:axPos val="l"/>
        <c:title>
          <c:tx>
            <c:strRef>
              <c:f>'TOU Tariff Comparison HS'!$P$73:$P$74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37024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HS'!$C$72</c:f>
          <c:strCache>
            <c:ptCount val="1"/>
            <c:pt idx="0">
              <c:v>High Season G TOU Tariff 7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HS'!$B$75:$B$81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HS'!$O$75:$O$81</c:f>
              <c:numCache>
                <c:formatCode>"R"#,##0.00</c:formatCode>
                <c:ptCount val="7"/>
                <c:pt idx="0">
                  <c:v>3413.1509123283922</c:v>
                </c:pt>
                <c:pt idx="1">
                  <c:v>4568.1509123283904</c:v>
                </c:pt>
                <c:pt idx="2">
                  <c:v>5338.150912328394</c:v>
                </c:pt>
                <c:pt idx="3">
                  <c:v>7263.1509123283904</c:v>
                </c:pt>
                <c:pt idx="4">
                  <c:v>9188.1509123283977</c:v>
                </c:pt>
                <c:pt idx="5">
                  <c:v>11113.15091232839</c:v>
                </c:pt>
                <c:pt idx="6">
                  <c:v>13038.15091232839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D-4DC2-AB2C-E3C9561657F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69909263"/>
        <c:axId val="1369909743"/>
      </c:barChart>
      <c:catAx>
        <c:axId val="1369909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909743"/>
        <c:crosses val="autoZero"/>
        <c:auto val="1"/>
        <c:lblAlgn val="ctr"/>
        <c:lblOffset val="100"/>
        <c:noMultiLvlLbl val="0"/>
      </c:catAx>
      <c:valAx>
        <c:axId val="1369909743"/>
        <c:scaling>
          <c:orientation val="minMax"/>
        </c:scaling>
        <c:delete val="1"/>
        <c:axPos val="l"/>
        <c:title>
          <c:tx>
            <c:strRef>
              <c:f>'TOU Tariff Comparison HS'!$O$73:$O$74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36990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HS'!$C$85</c:f>
          <c:strCache>
            <c:ptCount val="1"/>
            <c:pt idx="0">
              <c:v>High Season H TOU Tariff 8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HS'!$B$88:$B$94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HS'!$P$88:$P$94</c:f>
              <c:numCache>
                <c:formatCode>0.00%</c:formatCode>
                <c:ptCount val="7"/>
                <c:pt idx="0">
                  <c:v>0.17266187050359713</c:v>
                </c:pt>
                <c:pt idx="1">
                  <c:v>0.25076765609007162</c:v>
                </c:pt>
                <c:pt idx="2">
                  <c:v>0.28183118741058655</c:v>
                </c:pt>
                <c:pt idx="3">
                  <c:v>0.32823649337410804</c:v>
                </c:pt>
                <c:pt idx="4">
                  <c:v>0.35391923990498814</c:v>
                </c:pt>
                <c:pt idx="5">
                  <c:v>0.37022653721682847</c:v>
                </c:pt>
                <c:pt idx="6">
                  <c:v>0.38149972632731255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0-4925-A7B6-FC5FC12A38B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99546287"/>
        <c:axId val="1799547247"/>
      </c:barChart>
      <c:catAx>
        <c:axId val="1799546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9547247"/>
        <c:crosses val="autoZero"/>
        <c:auto val="1"/>
        <c:lblAlgn val="ctr"/>
        <c:lblOffset val="100"/>
        <c:noMultiLvlLbl val="0"/>
      </c:catAx>
      <c:valAx>
        <c:axId val="1799547247"/>
        <c:scaling>
          <c:orientation val="minMax"/>
        </c:scaling>
        <c:delete val="1"/>
        <c:axPos val="l"/>
        <c:title>
          <c:tx>
            <c:strRef>
              <c:f>'TOU Tariff Comparison HS'!$P$86:$P$87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79954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HS'!$C$85</c:f>
          <c:strCache>
            <c:ptCount val="1"/>
            <c:pt idx="0">
              <c:v>High Season H TOU Tariff 8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HS'!$B$88:$B$94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HS'!$O$88:$O$94</c:f>
              <c:numCache>
                <c:formatCode>"R"#,##0.00</c:formatCode>
                <c:ptCount val="7"/>
                <c:pt idx="0">
                  <c:v>1800</c:v>
                </c:pt>
                <c:pt idx="1">
                  <c:v>3675</c:v>
                </c:pt>
                <c:pt idx="2">
                  <c:v>4925</c:v>
                </c:pt>
                <c:pt idx="3">
                  <c:v>8050</c:v>
                </c:pt>
                <c:pt idx="4">
                  <c:v>11175</c:v>
                </c:pt>
                <c:pt idx="5">
                  <c:v>14300</c:v>
                </c:pt>
                <c:pt idx="6">
                  <c:v>17425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0-4A2A-A4EF-04A0B3A30F5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76936511"/>
        <c:axId val="1676931231"/>
      </c:barChart>
      <c:catAx>
        <c:axId val="1676936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931231"/>
        <c:crosses val="autoZero"/>
        <c:auto val="1"/>
        <c:lblAlgn val="ctr"/>
        <c:lblOffset val="100"/>
        <c:noMultiLvlLbl val="0"/>
      </c:catAx>
      <c:valAx>
        <c:axId val="1676931231"/>
        <c:scaling>
          <c:orientation val="minMax"/>
        </c:scaling>
        <c:delete val="1"/>
        <c:axPos val="l"/>
        <c:title>
          <c:tx>
            <c:strRef>
              <c:f>'TOU Tariff Comparison HS'!$O$86:$O$87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676936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HS'!$C$98</c:f>
          <c:strCache>
            <c:ptCount val="1"/>
            <c:pt idx="0">
              <c:v>High Season I TOU Tariff 9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HS'!$B$101:$B$107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HS'!$P$101:$P$107</c:f>
              <c:numCache>
                <c:formatCode>0.00%</c:formatCode>
                <c:ptCount val="7"/>
                <c:pt idx="0">
                  <c:v>0.17662571495845047</c:v>
                </c:pt>
                <c:pt idx="1">
                  <c:v>0.16775281708981093</c:v>
                </c:pt>
                <c:pt idx="2">
                  <c:v>0.16449831320594763</c:v>
                </c:pt>
                <c:pt idx="3">
                  <c:v>0.15989610312541314</c:v>
                </c:pt>
                <c:pt idx="4">
                  <c:v>0.15747340961043044</c:v>
                </c:pt>
                <c:pt idx="5">
                  <c:v>0.15597839178022416</c:v>
                </c:pt>
                <c:pt idx="6">
                  <c:v>0.15496384393897125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9-4BF6-93A1-560FCAC52CC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35660271"/>
        <c:axId val="1235660751"/>
      </c:barChart>
      <c:catAx>
        <c:axId val="12356602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9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660751"/>
        <c:crosses val="autoZero"/>
        <c:auto val="1"/>
        <c:lblAlgn val="ctr"/>
        <c:lblOffset val="100"/>
        <c:noMultiLvlLbl val="0"/>
      </c:catAx>
      <c:valAx>
        <c:axId val="1235660751"/>
        <c:scaling>
          <c:orientation val="minMax"/>
        </c:scaling>
        <c:delete val="1"/>
        <c:axPos val="l"/>
        <c:title>
          <c:tx>
            <c:strRef>
              <c:f>'TOU Tariff Comparison HS'!$P$99:$P$100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23566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HS'!$C$98</c:f>
          <c:strCache>
            <c:ptCount val="1"/>
            <c:pt idx="0">
              <c:v>High Season I TOU Tariff 9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HS'!$B$101:$B$107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HS'!$O$101:$O$107</c:f>
              <c:numCache>
                <c:formatCode>"R"#,##0.00</c:formatCode>
                <c:ptCount val="7"/>
                <c:pt idx="0">
                  <c:v>2577.3490876716078</c:v>
                </c:pt>
                <c:pt idx="1">
                  <c:v>3648.6490876716089</c:v>
                </c:pt>
                <c:pt idx="2">
                  <c:v>4362.849087671606</c:v>
                </c:pt>
                <c:pt idx="3">
                  <c:v>6148.3490876716096</c:v>
                </c:pt>
                <c:pt idx="4">
                  <c:v>7933.8490876716096</c:v>
                </c:pt>
                <c:pt idx="5">
                  <c:v>9719.3490876716096</c:v>
                </c:pt>
                <c:pt idx="6">
                  <c:v>11504.84908767161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50-4B9E-8521-B7CE81F923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65487599"/>
        <c:axId val="1765493359"/>
      </c:barChart>
      <c:catAx>
        <c:axId val="1765487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</a:t>
                </a:r>
                <a:r>
                  <a:rPr lang="en-ZA" baseline="0"/>
                  <a:t>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5493359"/>
        <c:crosses val="autoZero"/>
        <c:auto val="1"/>
        <c:lblAlgn val="ctr"/>
        <c:lblOffset val="100"/>
        <c:noMultiLvlLbl val="0"/>
      </c:catAx>
      <c:valAx>
        <c:axId val="1765493359"/>
        <c:scaling>
          <c:orientation val="minMax"/>
        </c:scaling>
        <c:delete val="1"/>
        <c:axPos val="l"/>
        <c:title>
          <c:tx>
            <c:strRef>
              <c:f>'TOU Tariff Comparison HS'!$P$99:$P$100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765487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Tariff Comparison HS'!$C$111</c:f>
          <c:strCache>
            <c:ptCount val="1"/>
            <c:pt idx="0">
              <c:v>High Season J TOU Tariff 10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HS'!$B$114:$B$120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HS'!$P$114:$P$120</c:f>
              <c:numCache>
                <c:formatCode>0.00%</c:formatCode>
                <c:ptCount val="7"/>
                <c:pt idx="0">
                  <c:v>0.1610032362459547</c:v>
                </c:pt>
                <c:pt idx="1">
                  <c:v>0.13910065186167275</c:v>
                </c:pt>
                <c:pt idx="2">
                  <c:v>0.13087095303237575</c:v>
                </c:pt>
                <c:pt idx="3">
                  <c:v>0.11904761904761904</c:v>
                </c:pt>
                <c:pt idx="4">
                  <c:v>0.11273435597759922</c:v>
                </c:pt>
                <c:pt idx="5">
                  <c:v>0.10880726698262243</c:v>
                </c:pt>
                <c:pt idx="6">
                  <c:v>0.10612855007473841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1-4F58-8006-DD0C3829D1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22631711"/>
        <c:axId val="1222632191"/>
      </c:barChart>
      <c:catAx>
        <c:axId val="12226317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632191"/>
        <c:crosses val="autoZero"/>
        <c:auto val="1"/>
        <c:lblAlgn val="ctr"/>
        <c:lblOffset val="100"/>
        <c:noMultiLvlLbl val="0"/>
      </c:catAx>
      <c:valAx>
        <c:axId val="1222632191"/>
        <c:scaling>
          <c:orientation val="minMax"/>
        </c:scaling>
        <c:delete val="1"/>
        <c:axPos val="l"/>
        <c:title>
          <c:tx>
            <c:strRef>
              <c:f>'TOU Tariff Comparison HS'!$P$112:$P$113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222631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'Domestic FlatTariff comparison '!$C$21</c:f>
          <c:strCache>
            <c:ptCount val="1"/>
            <c:pt idx="0">
              <c:v>A Flat Tariff 1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'Domestic FlatTariff comparison '!$B$24:$B$28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cat>
          <c:val>
            <c:numRef>
              <c:f>'Domestic FlatTariff comparison '!$L$24:$L$28</c:f>
              <c:numCache>
                <c:formatCode>0.00%</c:formatCode>
                <c:ptCount val="5"/>
                <c:pt idx="0">
                  <c:v>-2.3076923076923078E-2</c:v>
                </c:pt>
                <c:pt idx="1">
                  <c:v>-2.3076923076923078E-2</c:v>
                </c:pt>
                <c:pt idx="2">
                  <c:v>-2.3076923076923078E-2</c:v>
                </c:pt>
                <c:pt idx="3">
                  <c:v>-2.3076923076923078E-2</c:v>
                </c:pt>
                <c:pt idx="4">
                  <c:v>-2.3076923076923078E-2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B-499D-9ED3-E9A3E8F709B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30551631"/>
        <c:axId val="1230542991"/>
      </c:barChart>
      <c:catAx>
        <c:axId val="1230551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542991"/>
        <c:crosses val="autoZero"/>
        <c:auto val="1"/>
        <c:lblAlgn val="ctr"/>
        <c:lblOffset val="100"/>
        <c:noMultiLvlLbl val="0"/>
      </c:catAx>
      <c:valAx>
        <c:axId val="1230542991"/>
        <c:scaling>
          <c:orientation val="minMax"/>
        </c:scaling>
        <c:delete val="1"/>
        <c:axPos val="l"/>
        <c:title>
          <c:tx>
            <c:strRef>
              <c:f>'Domestic FlatTariff comparison '!$L$22:$L$23</c:f>
              <c:strCache>
                <c:ptCount val="2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23055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Tariff Comparison HS'!$C$111</c:f>
          <c:strCache>
            <c:ptCount val="1"/>
            <c:pt idx="0">
              <c:v>High Season J TOU Tariff 10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Tariff Comparison HS'!$B$114:$B$120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Tariff Comparison HS'!$O$114:$O$120</c:f>
              <c:numCache>
                <c:formatCode>"R"#,##0.00</c:formatCode>
                <c:ptCount val="7"/>
                <c:pt idx="0">
                  <c:v>1990</c:v>
                </c:pt>
                <c:pt idx="1">
                  <c:v>2518</c:v>
                </c:pt>
                <c:pt idx="2">
                  <c:v>2870</c:v>
                </c:pt>
                <c:pt idx="3">
                  <c:v>3750</c:v>
                </c:pt>
                <c:pt idx="4">
                  <c:v>4630</c:v>
                </c:pt>
                <c:pt idx="5">
                  <c:v>5510</c:v>
                </c:pt>
                <c:pt idx="6">
                  <c:v>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1-4DBC-8964-DE2E4F5D76D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2884383"/>
        <c:axId val="2002880543"/>
      </c:barChart>
      <c:catAx>
        <c:axId val="2002884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2880543"/>
        <c:crosses val="autoZero"/>
        <c:auto val="1"/>
        <c:lblAlgn val="ctr"/>
        <c:lblOffset val="100"/>
        <c:noMultiLvlLbl val="0"/>
      </c:catAx>
      <c:valAx>
        <c:axId val="2002880543"/>
        <c:scaling>
          <c:orientation val="minMax"/>
        </c:scaling>
        <c:delete val="1"/>
        <c:axPos val="l"/>
        <c:title>
          <c:tx>
            <c:strRef>
              <c:f>'TOU Tariff Comparison HS'!$O$112:$O$113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200288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comparison'!$B$7:$J$7</c:f>
          <c:strCache>
            <c:ptCount val="9"/>
            <c:pt idx="0">
              <c:v>TOU Tariff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comparison'!$B$9:$B$13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Year comparison'!$J$9:$J$13</c:f>
              <c:numCache>
                <c:formatCode>0.00%</c:formatCode>
                <c:ptCount val="5"/>
                <c:pt idx="0">
                  <c:v>0.1965352449223417</c:v>
                </c:pt>
                <c:pt idx="1">
                  <c:v>0.19667093469910371</c:v>
                </c:pt>
                <c:pt idx="2">
                  <c:v>0.19677274764679517</c:v>
                </c:pt>
                <c:pt idx="3">
                  <c:v>0.19685196254233911</c:v>
                </c:pt>
                <c:pt idx="4">
                  <c:v>0.19691535150645625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F-45B6-A4A3-1222F970E7E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84344543"/>
        <c:axId val="1684347423"/>
      </c:barChart>
      <c:catAx>
        <c:axId val="1684344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347423"/>
        <c:crosses val="autoZero"/>
        <c:auto val="1"/>
        <c:lblAlgn val="ctr"/>
        <c:lblOffset val="100"/>
        <c:noMultiLvlLbl val="0"/>
      </c:catAx>
      <c:valAx>
        <c:axId val="1684347423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68434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comparison'!$B$7:$J$7</c:f>
          <c:strCache>
            <c:ptCount val="9"/>
            <c:pt idx="0">
              <c:v>TOU Tariff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comparison'!$B$9:$B$13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Year comparison'!$I$9:$I$13</c:f>
              <c:numCache>
                <c:formatCode>"R"#,##0.00</c:formatCode>
                <c:ptCount val="5"/>
                <c:pt idx="0">
                  <c:v>329</c:v>
                </c:pt>
                <c:pt idx="1">
                  <c:v>384</c:v>
                </c:pt>
                <c:pt idx="2">
                  <c:v>439</c:v>
                </c:pt>
                <c:pt idx="3">
                  <c:v>494</c:v>
                </c:pt>
                <c:pt idx="4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6-460D-A448-601E6214A0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25619919"/>
        <c:axId val="1425624719"/>
      </c:barChart>
      <c:catAx>
        <c:axId val="14256199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624719"/>
        <c:crosses val="autoZero"/>
        <c:auto val="1"/>
        <c:lblAlgn val="ctr"/>
        <c:lblOffset val="100"/>
        <c:noMultiLvlLbl val="0"/>
      </c:catAx>
      <c:valAx>
        <c:axId val="1425624719"/>
        <c:scaling>
          <c:orientation val="minMax"/>
        </c:scaling>
        <c:delete val="1"/>
        <c:axPos val="l"/>
        <c:title>
          <c:tx>
            <c:strRef>
              <c:f>'TOU Year comparison'!$J$8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425619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comparison'!$B$17:$J$17</c:f>
          <c:strCache>
            <c:ptCount val="9"/>
            <c:pt idx="0">
              <c:v>TOU Tariff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comparison'!$B$19:$B$23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Year comparison'!$J$19:$J$23</c:f>
              <c:numCache>
                <c:formatCode>0.00%</c:formatCode>
                <c:ptCount val="5"/>
                <c:pt idx="0">
                  <c:v>0.16288634252090431</c:v>
                </c:pt>
                <c:pt idx="1">
                  <c:v>0.16291517323775384</c:v>
                </c:pt>
                <c:pt idx="2">
                  <c:v>0.16293680297397764</c:v>
                </c:pt>
                <c:pt idx="3">
                  <c:v>0.1629536300733245</c:v>
                </c:pt>
                <c:pt idx="4">
                  <c:v>0.16296709425543787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3-4AE9-AE0C-CDC4E5F336A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43149503"/>
        <c:axId val="1843143743"/>
      </c:barChart>
      <c:catAx>
        <c:axId val="1843149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143743"/>
        <c:crosses val="autoZero"/>
        <c:auto val="1"/>
        <c:lblAlgn val="ctr"/>
        <c:lblOffset val="100"/>
        <c:noMultiLvlLbl val="0"/>
      </c:catAx>
      <c:valAx>
        <c:axId val="1843143743"/>
        <c:scaling>
          <c:orientation val="minMax"/>
        </c:scaling>
        <c:delete val="1"/>
        <c:axPos val="l"/>
        <c:title>
          <c:tx>
            <c:strRef>
              <c:f>'TOU Year comparison'!$J$18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843149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comparison'!$B$17:$J$17</c:f>
          <c:strCache>
            <c:ptCount val="9"/>
            <c:pt idx="0">
              <c:v>TOU Tariff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comparison'!$B$19:$B$23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Year comparison'!$I$19:$I$23</c:f>
              <c:numCache>
                <c:formatCode>"R"#,##0.00</c:formatCode>
                <c:ptCount val="5"/>
                <c:pt idx="0">
                  <c:v>262.98</c:v>
                </c:pt>
                <c:pt idx="1">
                  <c:v>306.80999999999995</c:v>
                </c:pt>
                <c:pt idx="2">
                  <c:v>350.63999999999987</c:v>
                </c:pt>
                <c:pt idx="3">
                  <c:v>394.47000000000025</c:v>
                </c:pt>
                <c:pt idx="4">
                  <c:v>438.30000000000018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B-4A2A-AAC7-FEDFD1DDC7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95064463"/>
        <c:axId val="1995062543"/>
      </c:barChart>
      <c:catAx>
        <c:axId val="19950644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5062543"/>
        <c:crosses val="autoZero"/>
        <c:auto val="1"/>
        <c:lblAlgn val="ctr"/>
        <c:lblOffset val="100"/>
        <c:noMultiLvlLbl val="0"/>
      </c:catAx>
      <c:valAx>
        <c:axId val="1995062543"/>
        <c:scaling>
          <c:orientation val="minMax"/>
        </c:scaling>
        <c:delete val="1"/>
        <c:axPos val="l"/>
        <c:title>
          <c:tx>
            <c:strRef>
              <c:f>'TOU Year comparison'!$I$18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995064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'TOU Year comparison'!$B$27:$J$27</c:f>
          <c:strCache>
            <c:ptCount val="9"/>
            <c:pt idx="0">
              <c:v>TOU Tariff 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comparison'!$B$29:$B$33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Year comparison'!$J$29:$J$33</c:f>
              <c:numCache>
                <c:formatCode>0.00%</c:formatCode>
                <c:ptCount val="5"/>
                <c:pt idx="0">
                  <c:v>2.0568475452196359E-2</c:v>
                </c:pt>
                <c:pt idx="1">
                  <c:v>2.0420819490586894E-2</c:v>
                </c:pt>
                <c:pt idx="2">
                  <c:v>2.0310077519379879E-2</c:v>
                </c:pt>
                <c:pt idx="3">
                  <c:v>2.0223944875107602E-2</c:v>
                </c:pt>
                <c:pt idx="4">
                  <c:v>2.0155038759689922E-2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1-4BCF-A3A8-01F0256D5A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61160015"/>
        <c:axId val="1361172975"/>
      </c:barChart>
      <c:catAx>
        <c:axId val="13611600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1172975"/>
        <c:crosses val="autoZero"/>
        <c:auto val="1"/>
        <c:lblAlgn val="ctr"/>
        <c:lblOffset val="100"/>
        <c:noMultiLvlLbl val="0"/>
      </c:catAx>
      <c:valAx>
        <c:axId val="1361172975"/>
        <c:scaling>
          <c:orientation val="minMax"/>
        </c:scaling>
        <c:delete val="1"/>
        <c:axPos val="l"/>
        <c:title>
          <c:tx>
            <c:strRef>
              <c:f>'TOU Year comparison'!$J$28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361160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comparison'!$B$27:$J$27</c:f>
          <c:strCache>
            <c:ptCount val="9"/>
            <c:pt idx="0">
              <c:v>TOU Tariff 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comparison'!$B$29:$B$33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Year comparison'!$I$29:$I$33</c:f>
              <c:numCache>
                <c:formatCode>"R"#,##0.00</c:formatCode>
                <c:ptCount val="5"/>
                <c:pt idx="0">
                  <c:v>39.799999999999955</c:v>
                </c:pt>
                <c:pt idx="1">
                  <c:v>46.099999999999909</c:v>
                </c:pt>
                <c:pt idx="2">
                  <c:v>52.400000000000091</c:v>
                </c:pt>
                <c:pt idx="3">
                  <c:v>58.699999999999818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C-47EA-BA48-9CA8687204A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31107567"/>
        <c:axId val="1422096991"/>
      </c:barChart>
      <c:catAx>
        <c:axId val="1331107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096991"/>
        <c:crosses val="autoZero"/>
        <c:auto val="1"/>
        <c:lblAlgn val="ctr"/>
        <c:lblOffset val="100"/>
        <c:noMultiLvlLbl val="0"/>
      </c:catAx>
      <c:valAx>
        <c:axId val="1422096991"/>
        <c:scaling>
          <c:orientation val="minMax"/>
        </c:scaling>
        <c:delete val="1"/>
        <c:axPos val="l"/>
        <c:title>
          <c:tx>
            <c:strRef>
              <c:f>'TOU Year comparison'!$I$28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331107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comparison'!$B$37:$J$37</c:f>
          <c:strCache>
            <c:ptCount val="9"/>
            <c:pt idx="0">
              <c:v>TOU Tariff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comparison'!$B$39:$B$43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Year comparison'!$J$39:$J$43</c:f>
              <c:numCache>
                <c:formatCode>0.00%</c:formatCode>
                <c:ptCount val="5"/>
                <c:pt idx="0">
                  <c:v>0.17283037475345159</c:v>
                </c:pt>
                <c:pt idx="1">
                  <c:v>0.17265426880811494</c:v>
                </c:pt>
                <c:pt idx="2">
                  <c:v>0.17252218934911256</c:v>
                </c:pt>
                <c:pt idx="3">
                  <c:v>0.1724194608809993</c:v>
                </c:pt>
                <c:pt idx="4">
                  <c:v>0.17233727810650887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3-4AF3-B86F-CC9F92150D1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0944063"/>
        <c:axId val="80950303"/>
      </c:barChart>
      <c:catAx>
        <c:axId val="8094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950303"/>
        <c:crosses val="autoZero"/>
        <c:auto val="1"/>
        <c:lblAlgn val="ctr"/>
        <c:lblOffset val="100"/>
        <c:noMultiLvlLbl val="0"/>
      </c:catAx>
      <c:valAx>
        <c:axId val="80950303"/>
        <c:scaling>
          <c:orientation val="minMax"/>
        </c:scaling>
        <c:delete val="1"/>
        <c:axPos val="l"/>
        <c:title>
          <c:tx>
            <c:strRef>
              <c:f>'TOU Year comparison'!$J$38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8094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comparison'!$B$37:$J$37</c:f>
          <c:strCache>
            <c:ptCount val="9"/>
            <c:pt idx="0">
              <c:v>TOU Tariff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comparison'!$B$39:$B$43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'TOU Year comparison'!$I$39:$I$43</c:f>
              <c:numCache>
                <c:formatCode>"R"#,##0.00</c:formatCode>
                <c:ptCount val="5"/>
                <c:pt idx="0">
                  <c:v>280.39999999999986</c:v>
                </c:pt>
                <c:pt idx="1">
                  <c:v>326.79999999999995</c:v>
                </c:pt>
                <c:pt idx="2">
                  <c:v>373.20000000000027</c:v>
                </c:pt>
                <c:pt idx="3">
                  <c:v>419.59999999999991</c:v>
                </c:pt>
                <c:pt idx="4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4-4C65-9CE2-E5D977D83D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79757743"/>
        <c:axId val="1279759663"/>
      </c:barChart>
      <c:catAx>
        <c:axId val="127975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759663"/>
        <c:crosses val="autoZero"/>
        <c:auto val="1"/>
        <c:lblAlgn val="ctr"/>
        <c:lblOffset val="100"/>
        <c:noMultiLvlLbl val="0"/>
      </c:catAx>
      <c:valAx>
        <c:axId val="1279759663"/>
        <c:scaling>
          <c:orientation val="minMax"/>
        </c:scaling>
        <c:delete val="1"/>
        <c:axPos val="l"/>
        <c:title>
          <c:tx>
            <c:strRef>
              <c:f>'TOU Year comparison'!$I$38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27975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comparison'!$B$47:$J$47</c:f>
          <c:strCache>
            <c:ptCount val="9"/>
            <c:pt idx="0">
              <c:v>TOU Tariff 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comparison'!$B$49:$B$55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comparison'!$J$49:$J$55</c:f>
              <c:numCache>
                <c:formatCode>0.00%</c:formatCode>
                <c:ptCount val="7"/>
                <c:pt idx="0">
                  <c:v>-0.15525773195876288</c:v>
                </c:pt>
                <c:pt idx="1">
                  <c:v>-0.15528350515463918</c:v>
                </c:pt>
                <c:pt idx="2">
                  <c:v>-0.15529209621993126</c:v>
                </c:pt>
                <c:pt idx="3">
                  <c:v>-0.15530355097365406</c:v>
                </c:pt>
                <c:pt idx="4">
                  <c:v>-0.15530927835051547</c:v>
                </c:pt>
                <c:pt idx="5">
                  <c:v>-0.1553127147766323</c:v>
                </c:pt>
                <c:pt idx="6">
                  <c:v>-0.15531500572737686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5E7-95B8-9330AD4E64C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81958719"/>
        <c:axId val="1681959199"/>
      </c:barChart>
      <c:catAx>
        <c:axId val="16819587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959199"/>
        <c:crosses val="autoZero"/>
        <c:auto val="1"/>
        <c:lblAlgn val="ctr"/>
        <c:lblOffset val="100"/>
        <c:noMultiLvlLbl val="0"/>
      </c:catAx>
      <c:valAx>
        <c:axId val="1681959199"/>
        <c:scaling>
          <c:orientation val="minMax"/>
        </c:scaling>
        <c:delete val="1"/>
        <c:axPos val="l"/>
        <c:title>
          <c:tx>
            <c:strRef>
              <c:f>'TOU Year comparison'!$J$48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681958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'Domestic FlatTariff comparison '!$C$31</c:f>
          <c:strCache>
            <c:ptCount val="1"/>
            <c:pt idx="0">
              <c:v>B Flat Tariff 2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'Domestic FlatTariff comparison '!$B$34:$B$38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</c:numCache>
            </c:numRef>
          </c:cat>
          <c:val>
            <c:numRef>
              <c:f>'Domestic FlatTariff comparison '!$L$34:$L$38</c:f>
              <c:numCache>
                <c:formatCode>0.00%</c:formatCode>
                <c:ptCount val="5"/>
                <c:pt idx="0">
                  <c:v>1.8181818181818181E-2</c:v>
                </c:pt>
                <c:pt idx="1">
                  <c:v>1.8181818181818181E-2</c:v>
                </c:pt>
                <c:pt idx="2">
                  <c:v>1.8181818181818181E-2</c:v>
                </c:pt>
                <c:pt idx="3">
                  <c:v>1.8181818181818181E-2</c:v>
                </c:pt>
                <c:pt idx="4">
                  <c:v>1.8181818181818181E-2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8-4BCD-88F6-59285A6EBA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1885999"/>
        <c:axId val="81886479"/>
      </c:barChart>
      <c:catAx>
        <c:axId val="81885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86479"/>
        <c:crosses val="autoZero"/>
        <c:auto val="1"/>
        <c:lblAlgn val="ctr"/>
        <c:lblOffset val="100"/>
        <c:noMultiLvlLbl val="0"/>
      </c:catAx>
      <c:valAx>
        <c:axId val="81886479"/>
        <c:scaling>
          <c:orientation val="minMax"/>
        </c:scaling>
        <c:delete val="1"/>
        <c:axPos val="l"/>
        <c:title>
          <c:tx>
            <c:strRef>
              <c:f>'Domestic FlatTariff comparison '!$L$32:$L$33</c:f>
              <c:strCache>
                <c:ptCount val="2"/>
                <c:pt idx="0">
                  <c:v>%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81885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comparison'!$B$47:$J$47</c:f>
          <c:strCache>
            <c:ptCount val="9"/>
            <c:pt idx="0">
              <c:v>TOU Tariff 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comparison'!$B$49:$B$55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comparison'!$I$49:$I$55</c:f>
              <c:numCache>
                <c:formatCode>"R"#,##0.00</c:formatCode>
                <c:ptCount val="7"/>
                <c:pt idx="0">
                  <c:v>-4518</c:v>
                </c:pt>
                <c:pt idx="1">
                  <c:v>-7230</c:v>
                </c:pt>
                <c:pt idx="2">
                  <c:v>-9038</c:v>
                </c:pt>
                <c:pt idx="3">
                  <c:v>-13558</c:v>
                </c:pt>
                <c:pt idx="4">
                  <c:v>-18078</c:v>
                </c:pt>
                <c:pt idx="5">
                  <c:v>-22598</c:v>
                </c:pt>
                <c:pt idx="6">
                  <c:v>-27118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6-4E94-9C9B-E70DF18636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1395631"/>
        <c:axId val="51386031"/>
      </c:barChart>
      <c:catAx>
        <c:axId val="513956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86031"/>
        <c:crosses val="autoZero"/>
        <c:auto val="1"/>
        <c:lblAlgn val="ctr"/>
        <c:lblOffset val="100"/>
        <c:noMultiLvlLbl val="0"/>
      </c:catAx>
      <c:valAx>
        <c:axId val="51386031"/>
        <c:scaling>
          <c:orientation val="minMax"/>
        </c:scaling>
        <c:delete val="1"/>
        <c:axPos val="l"/>
        <c:title>
          <c:tx>
            <c:strRef>
              <c:f>'TOU Year comparison'!$I$48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51395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comparison'!$B$59:$J$59</c:f>
          <c:strCache>
            <c:ptCount val="9"/>
            <c:pt idx="0">
              <c:v>TOU Tariff 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comparison'!$B$61:$B$67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comparison'!$J$61:$J$67</c:f>
              <c:numCache>
                <c:formatCode>0.00%</c:formatCode>
                <c:ptCount val="7"/>
                <c:pt idx="0">
                  <c:v>8.9035754840254416E-2</c:v>
                </c:pt>
                <c:pt idx="1">
                  <c:v>8.3991091086304828E-2</c:v>
                </c:pt>
                <c:pt idx="2">
                  <c:v>8.214844054395995E-2</c:v>
                </c:pt>
                <c:pt idx="3">
                  <c:v>7.9549743453463939E-2</c:v>
                </c:pt>
                <c:pt idx="4">
                  <c:v>7.8185023598217149E-2</c:v>
                </c:pt>
                <c:pt idx="5">
                  <c:v>7.7343997096961409E-2</c:v>
                </c:pt>
                <c:pt idx="6">
                  <c:v>7.6773749552795631E-2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4-4F7B-986A-DC0FCAF6F9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0820591"/>
        <c:axId val="80822991"/>
      </c:barChart>
      <c:catAx>
        <c:axId val="808205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22991"/>
        <c:crosses val="autoZero"/>
        <c:auto val="1"/>
        <c:lblAlgn val="ctr"/>
        <c:lblOffset val="100"/>
        <c:noMultiLvlLbl val="0"/>
      </c:catAx>
      <c:valAx>
        <c:axId val="80822991"/>
        <c:scaling>
          <c:orientation val="minMax"/>
        </c:scaling>
        <c:delete val="1"/>
        <c:axPos val="l"/>
        <c:title>
          <c:tx>
            <c:strRef>
              <c:f>'TOU Year comparison'!$J$60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80820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comparison'!$B$59:$J$59</c:f>
          <c:strCache>
            <c:ptCount val="9"/>
            <c:pt idx="0">
              <c:v>TOU Tariff 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comparison'!$B$61:$B$67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comparison'!$I$61:$I$67</c:f>
              <c:numCache>
                <c:formatCode>"R"#,##0.00</c:formatCode>
                <c:ptCount val="7"/>
                <c:pt idx="0">
                  <c:v>2127.3042052538003</c:v>
                </c:pt>
                <c:pt idx="1">
                  <c:v>3000.3042052538003</c:v>
                </c:pt>
                <c:pt idx="2">
                  <c:v>3582.3042052538003</c:v>
                </c:pt>
                <c:pt idx="3">
                  <c:v>5037.3042052538003</c:v>
                </c:pt>
                <c:pt idx="4">
                  <c:v>6492.3042052538076</c:v>
                </c:pt>
                <c:pt idx="5">
                  <c:v>7947.3042052538076</c:v>
                </c:pt>
                <c:pt idx="6">
                  <c:v>9402.3042052538076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A-491B-9896-2A8079DEE58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68153583"/>
        <c:axId val="1968154063"/>
      </c:barChart>
      <c:catAx>
        <c:axId val="19681535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8154063"/>
        <c:crosses val="autoZero"/>
        <c:auto val="1"/>
        <c:lblAlgn val="ctr"/>
        <c:lblOffset val="100"/>
        <c:noMultiLvlLbl val="0"/>
      </c:catAx>
      <c:valAx>
        <c:axId val="1968154063"/>
        <c:scaling>
          <c:orientation val="minMax"/>
        </c:scaling>
        <c:delete val="1"/>
        <c:axPos val="l"/>
        <c:title>
          <c:tx>
            <c:strRef>
              <c:f>'TOU Year comparison'!$I$60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968153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comparison'!$B$71:$J$71</c:f>
          <c:strCache>
            <c:ptCount val="9"/>
            <c:pt idx="0">
              <c:v>TOU Tariff 7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comparison'!$B$73:$B$79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comparison'!$J$73:$J$79</c:f>
              <c:numCache>
                <c:formatCode>0.00%</c:formatCode>
                <c:ptCount val="7"/>
                <c:pt idx="0">
                  <c:v>0.25193797168933835</c:v>
                </c:pt>
                <c:pt idx="1">
                  <c:v>0.23160472503058249</c:v>
                </c:pt>
                <c:pt idx="2">
                  <c:v>0.22399376757947836</c:v>
                </c:pt>
                <c:pt idx="3">
                  <c:v>0.21308701204080049</c:v>
                </c:pt>
                <c:pt idx="4">
                  <c:v>0.20727648148310529</c:v>
                </c:pt>
                <c:pt idx="5">
                  <c:v>0.20366677303059116</c:v>
                </c:pt>
                <c:pt idx="6">
                  <c:v>0.20120659334037017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6-43D1-B10B-6147F968C4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837902543"/>
        <c:axId val="1837900623"/>
      </c:barChart>
      <c:catAx>
        <c:axId val="18379025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900623"/>
        <c:crosses val="autoZero"/>
        <c:auto val="1"/>
        <c:lblAlgn val="ctr"/>
        <c:lblOffset val="100"/>
        <c:noMultiLvlLbl val="0"/>
      </c:catAx>
      <c:valAx>
        <c:axId val="1837900623"/>
        <c:scaling>
          <c:orientation val="minMax"/>
        </c:scaling>
        <c:delete val="1"/>
        <c:axPos val="l"/>
        <c:title>
          <c:tx>
            <c:strRef>
              <c:f>'TOU Year comparison'!$J$72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837902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comparison'!$B$71:$J$71</c:f>
          <c:strCache>
            <c:ptCount val="9"/>
            <c:pt idx="0">
              <c:v>TOU Tariff 7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comparison'!$B$73:$B$79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comparison'!$I$73:$I$79</c:f>
              <c:numCache>
                <c:formatCode>"R"#,##0.00</c:formatCode>
                <c:ptCount val="7"/>
                <c:pt idx="0">
                  <c:v>4927.1509123283904</c:v>
                </c:pt>
                <c:pt idx="1">
                  <c:v>6652.1509123283904</c:v>
                </c:pt>
                <c:pt idx="2">
                  <c:v>7802.1509123283904</c:v>
                </c:pt>
                <c:pt idx="3">
                  <c:v>10677.15091232839</c:v>
                </c:pt>
                <c:pt idx="4">
                  <c:v>13552.15091232839</c:v>
                </c:pt>
                <c:pt idx="5">
                  <c:v>16427.15091232839</c:v>
                </c:pt>
                <c:pt idx="6">
                  <c:v>19302.15091232839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1-4681-9C48-4FDF6C10D9C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93543199"/>
        <c:axId val="1993549919"/>
      </c:barChart>
      <c:catAx>
        <c:axId val="19935431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3549919"/>
        <c:crosses val="autoZero"/>
        <c:auto val="1"/>
        <c:lblAlgn val="ctr"/>
        <c:lblOffset val="100"/>
        <c:noMultiLvlLbl val="0"/>
      </c:catAx>
      <c:valAx>
        <c:axId val="1993549919"/>
        <c:scaling>
          <c:orientation val="minMax"/>
        </c:scaling>
        <c:delete val="1"/>
        <c:axPos val="l"/>
        <c:title>
          <c:tx>
            <c:strRef>
              <c:f>'TOU Year comparison'!$I$72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993543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comparison'!$B$83:$J$83</c:f>
          <c:strCache>
            <c:ptCount val="9"/>
            <c:pt idx="0">
              <c:v>TOU Tariff 8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comparison'!$B$85:$B$91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comparison'!$J$85:$J$91</c:f>
              <c:numCache>
                <c:formatCode>0.00%</c:formatCode>
                <c:ptCount val="7"/>
                <c:pt idx="0">
                  <c:v>0.12835047372256864</c:v>
                </c:pt>
                <c:pt idx="1">
                  <c:v>0.18368314953160203</c:v>
                </c:pt>
                <c:pt idx="2">
                  <c:v>0.20660048296216796</c:v>
                </c:pt>
                <c:pt idx="3">
                  <c:v>0.24185995597017648</c:v>
                </c:pt>
                <c:pt idx="4">
                  <c:v>0.26192248239537413</c:v>
                </c:pt>
                <c:pt idx="5">
                  <c:v>0.27487106219629948</c:v>
                </c:pt>
                <c:pt idx="6">
                  <c:v>0.28391966500413413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3-4D3E-80DE-183A264669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361168655"/>
        <c:axId val="1361161455"/>
      </c:barChart>
      <c:catAx>
        <c:axId val="1361168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1161455"/>
        <c:crosses val="autoZero"/>
        <c:auto val="1"/>
        <c:lblAlgn val="ctr"/>
        <c:lblOffset val="100"/>
        <c:noMultiLvlLbl val="0"/>
      </c:catAx>
      <c:valAx>
        <c:axId val="1361161455"/>
        <c:scaling>
          <c:orientation val="minMax"/>
        </c:scaling>
        <c:delete val="1"/>
        <c:axPos val="l"/>
        <c:title>
          <c:tx>
            <c:strRef>
              <c:f>'TOU Year comparison'!$J$84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361168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comparison'!$B$83:$J$83</c:f>
          <c:strCache>
            <c:ptCount val="9"/>
            <c:pt idx="0">
              <c:v>TOU Tariff 8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comparison'!$B$85:$B$91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comparison'!$I$85:$I$91</c:f>
              <c:numCache>
                <c:formatCode>"R"#,##0.00</c:formatCode>
                <c:ptCount val="7"/>
                <c:pt idx="0">
                  <c:v>2377.5</c:v>
                </c:pt>
                <c:pt idx="1">
                  <c:v>4647</c:v>
                </c:pt>
                <c:pt idx="2">
                  <c:v>6160</c:v>
                </c:pt>
                <c:pt idx="3">
                  <c:v>9942.5</c:v>
                </c:pt>
                <c:pt idx="4">
                  <c:v>13725</c:v>
                </c:pt>
                <c:pt idx="5">
                  <c:v>17507.5</c:v>
                </c:pt>
                <c:pt idx="6">
                  <c:v>21290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2-435E-839F-778108C446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43645567"/>
        <c:axId val="2043639807"/>
      </c:barChart>
      <c:catAx>
        <c:axId val="204364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3639807"/>
        <c:crosses val="autoZero"/>
        <c:auto val="1"/>
        <c:lblAlgn val="ctr"/>
        <c:lblOffset val="100"/>
        <c:noMultiLvlLbl val="0"/>
      </c:catAx>
      <c:valAx>
        <c:axId val="2043639807"/>
        <c:scaling>
          <c:orientation val="minMax"/>
        </c:scaling>
        <c:delete val="1"/>
        <c:axPos val="l"/>
        <c:title>
          <c:tx>
            <c:strRef>
              <c:f>'TOU Year comparison'!$I$84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2043645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comparison'!$B$95:$J$95</c:f>
          <c:strCache>
            <c:ptCount val="9"/>
            <c:pt idx="0">
              <c:v>TOU Tariff 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comparison'!$B$97:$B$103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comparison'!$J$97:$J$103</c:f>
              <c:numCache>
                <c:formatCode>0.00%</c:formatCode>
                <c:ptCount val="7"/>
                <c:pt idx="0">
                  <c:v>2.5193319037887942E-2</c:v>
                </c:pt>
                <c:pt idx="1">
                  <c:v>2.4222169046723991E-2</c:v>
                </c:pt>
                <c:pt idx="2">
                  <c:v>2.3853417412732131E-2</c:v>
                </c:pt>
                <c:pt idx="3">
                  <c:v>2.3319908180597836E-2</c:v>
                </c:pt>
                <c:pt idx="4">
                  <c:v>2.3033211135968047E-2</c:v>
                </c:pt>
                <c:pt idx="5">
                  <c:v>2.2854230142323458E-2</c:v>
                </c:pt>
                <c:pt idx="6">
                  <c:v>2.273186003933416E-2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B-40A0-A60B-F7EB79C0BA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1989759"/>
        <c:axId val="81992639"/>
      </c:barChart>
      <c:catAx>
        <c:axId val="8198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92639"/>
        <c:crosses val="autoZero"/>
        <c:auto val="1"/>
        <c:lblAlgn val="ctr"/>
        <c:lblOffset val="100"/>
        <c:noMultiLvlLbl val="0"/>
      </c:catAx>
      <c:valAx>
        <c:axId val="81992639"/>
        <c:scaling>
          <c:orientation val="minMax"/>
        </c:scaling>
        <c:delete val="1"/>
        <c:axPos val="l"/>
        <c:title>
          <c:tx>
            <c:strRef>
              <c:f>'TOU Year comparison'!$J$96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81989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comparison'!$B$95:$J$95</c:f>
          <c:strCache>
            <c:ptCount val="9"/>
            <c:pt idx="0">
              <c:v>TOU Tariff 9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comparison'!$B$97:$B$103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comparison'!$I$97:$I$103</c:f>
              <c:numCache>
                <c:formatCode>"R"#,##0.00</c:formatCode>
                <c:ptCount val="7"/>
                <c:pt idx="0">
                  <c:v>708.06908767160712</c:v>
                </c:pt>
                <c:pt idx="1">
                  <c:v>989.46908767160494</c:v>
                </c:pt>
                <c:pt idx="2">
                  <c:v>1177.0690876716108</c:v>
                </c:pt>
                <c:pt idx="3">
                  <c:v>1646.0690876716108</c:v>
                </c:pt>
                <c:pt idx="4">
                  <c:v>2115.0690876716108</c:v>
                </c:pt>
                <c:pt idx="5">
                  <c:v>2584.0690876716108</c:v>
                </c:pt>
                <c:pt idx="6">
                  <c:v>3053.0690876716108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B-4FE1-B594-027DB537AE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90278799"/>
        <c:axId val="1790273039"/>
      </c:barChart>
      <c:catAx>
        <c:axId val="1790278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0273039"/>
        <c:crosses val="autoZero"/>
        <c:auto val="1"/>
        <c:lblAlgn val="ctr"/>
        <c:lblOffset val="100"/>
        <c:noMultiLvlLbl val="0"/>
      </c:catAx>
      <c:valAx>
        <c:axId val="1790273039"/>
        <c:scaling>
          <c:orientation val="minMax"/>
        </c:scaling>
        <c:delete val="1"/>
        <c:axPos val="l"/>
        <c:title>
          <c:tx>
            <c:strRef>
              <c:f>'TOU Year comparison'!$I$96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79027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'TOU Year comparison'!$B$107:$J$107</c:f>
          <c:strCache>
            <c:ptCount val="9"/>
            <c:pt idx="0">
              <c:v>TOU Tariff 10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comparison'!$B$109:$B$115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comparison'!$J$109:$J$115</c:f>
              <c:numCache>
                <c:formatCode>0.00%</c:formatCode>
                <c:ptCount val="7"/>
                <c:pt idx="0">
                  <c:v>0.26485473289597</c:v>
                </c:pt>
                <c:pt idx="1">
                  <c:v>0.27274856845393014</c:v>
                </c:pt>
                <c:pt idx="2">
                  <c:v>0.27578378378378376</c:v>
                </c:pt>
                <c:pt idx="3">
                  <c:v>0.28021268515001901</c:v>
                </c:pt>
                <c:pt idx="4">
                  <c:v>0.28261124121779857</c:v>
                </c:pt>
                <c:pt idx="5">
                  <c:v>0.28411526553941413</c:v>
                </c:pt>
                <c:pt idx="6">
                  <c:v>0.28514652749899638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F-48BB-8D55-E24BF46A9F4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1553375"/>
        <c:axId val="1701549055"/>
      </c:barChart>
      <c:catAx>
        <c:axId val="1701553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549055"/>
        <c:crosses val="autoZero"/>
        <c:auto val="1"/>
        <c:lblAlgn val="ctr"/>
        <c:lblOffset val="100"/>
        <c:noMultiLvlLbl val="0"/>
      </c:catAx>
      <c:valAx>
        <c:axId val="1701549055"/>
        <c:scaling>
          <c:orientation val="minMax"/>
        </c:scaling>
        <c:delete val="1"/>
        <c:axPos val="l"/>
        <c:title>
          <c:tx>
            <c:strRef>
              <c:f>'TOU Year comparison'!$J$108</c:f>
              <c:strCache>
                <c:ptCount val="1"/>
                <c:pt idx="0">
                  <c:v>Tariff %age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crossAx val="1701553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'Domestic FlatTariff comparison '!$C$1</c:f>
          <c:strCache>
            <c:ptCount val="1"/>
            <c:pt idx="0">
              <c:v>C Flat Tariff 3 comparison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'Domestic FlatTariff comparison '!$B$4:$B$8</c:f>
              <c:numCache>
                <c:formatCode>General</c:formatCode>
                <c:ptCount val="5"/>
                <c:pt idx="0">
                  <c:v>600</c:v>
                </c:pt>
                <c:pt idx="1">
                  <c:v>700</c:v>
                </c:pt>
                <c:pt idx="2">
                  <c:v>800</c:v>
                </c:pt>
                <c:pt idx="3">
                  <c:v>900</c:v>
                </c:pt>
                <c:pt idx="4">
                  <c:v>1000</c:v>
                </c:pt>
              </c:numCache>
            </c:numRef>
          </c:cat>
          <c:val>
            <c:numRef>
              <c:f>'Domestic FlatTariff comparison '!$K$4:$K$8</c:f>
              <c:numCache>
                <c:formatCode>"R"#,##0.00</c:formatCode>
                <c:ptCount val="5"/>
                <c:pt idx="0">
                  <c:v>35</c:v>
                </c:pt>
                <c:pt idx="1">
                  <c:v>30</c:v>
                </c:pt>
                <c:pt idx="2">
                  <c:v>25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A0-4D7A-877E-814E477A8CA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70329599"/>
        <c:axId val="1470336319"/>
      </c:barChart>
      <c:catAx>
        <c:axId val="1470329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Usage [kWh]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336319"/>
        <c:crosses val="autoZero"/>
        <c:auto val="1"/>
        <c:lblAlgn val="ctr"/>
        <c:lblOffset val="100"/>
        <c:noMultiLvlLbl val="0"/>
      </c:catAx>
      <c:valAx>
        <c:axId val="1470336319"/>
        <c:scaling>
          <c:orientation val="minMax"/>
        </c:scaling>
        <c:delete val="1"/>
        <c:axPos val="l"/>
        <c:title>
          <c:tx>
            <c:strRef>
              <c:f>'Domestic FlatTariff comparison '!$K$2:$K$3</c:f>
              <c:strCache>
                <c:ptCount val="2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47032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'TOU Year comparison'!$B$107:$J$107</c:f>
          <c:strCache>
            <c:ptCount val="9"/>
            <c:pt idx="0">
              <c:v>TOU Tariff 10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'TOU Year comparison'!$B$109:$B$115</c:f>
              <c:numCache>
                <c:formatCode>General</c:formatCode>
                <c:ptCount val="7"/>
                <c:pt idx="0">
                  <c:v>5000</c:v>
                </c:pt>
                <c:pt idx="1">
                  <c:v>8000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</c:numCache>
            </c:numRef>
          </c:cat>
          <c:val>
            <c:numRef>
              <c:f>'TOU Year comparison'!$I$109:$I$115</c:f>
              <c:numCache>
                <c:formatCode>"R"#,##0.00</c:formatCode>
                <c:ptCount val="7"/>
                <c:pt idx="0">
                  <c:v>5652</c:v>
                </c:pt>
                <c:pt idx="1">
                  <c:v>8383.1999999999971</c:v>
                </c:pt>
                <c:pt idx="2">
                  <c:v>10204</c:v>
                </c:pt>
                <c:pt idx="3">
                  <c:v>14756</c:v>
                </c:pt>
                <c:pt idx="4">
                  <c:v>19308</c:v>
                </c:pt>
                <c:pt idx="5">
                  <c:v>23860</c:v>
                </c:pt>
                <c:pt idx="6">
                  <c:v>28412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3-4BF0-A322-3F6716A616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4925551"/>
        <c:axId val="164931791"/>
      </c:barChart>
      <c:catAx>
        <c:axId val="164925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Usage [kWh]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Z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31791"/>
        <c:crosses val="autoZero"/>
        <c:auto val="1"/>
        <c:lblAlgn val="ctr"/>
        <c:lblOffset val="100"/>
        <c:noMultiLvlLbl val="0"/>
      </c:catAx>
      <c:valAx>
        <c:axId val="164931791"/>
        <c:scaling>
          <c:orientation val="minMax"/>
        </c:scaling>
        <c:delete val="1"/>
        <c:axPos val="l"/>
        <c:title>
          <c:tx>
            <c:strRef>
              <c:f>'TOU Year comparison'!$I$108</c:f>
              <c:strCache>
                <c:ptCount val="1"/>
                <c:pt idx="0">
                  <c:v>Rand Increase/Decrease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R&quot;#,##0.00" sourceLinked="1"/>
        <c:majorTickMark val="none"/>
        <c:minorTickMark val="none"/>
        <c:tickLblPos val="nextTo"/>
        <c:crossAx val="164925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18" Type="http://schemas.openxmlformats.org/officeDocument/2006/relationships/chart" Target="../charts/chart4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17" Type="http://schemas.openxmlformats.org/officeDocument/2006/relationships/chart" Target="../charts/chart47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20" Type="http://schemas.openxmlformats.org/officeDocument/2006/relationships/chart" Target="../charts/chart50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19" Type="http://schemas.openxmlformats.org/officeDocument/2006/relationships/chart" Target="../charts/chart49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13" Type="http://schemas.openxmlformats.org/officeDocument/2006/relationships/chart" Target="../charts/chart63.xml"/><Relationship Id="rId18" Type="http://schemas.openxmlformats.org/officeDocument/2006/relationships/chart" Target="../charts/chart6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12" Type="http://schemas.openxmlformats.org/officeDocument/2006/relationships/chart" Target="../charts/chart62.xml"/><Relationship Id="rId17" Type="http://schemas.openxmlformats.org/officeDocument/2006/relationships/chart" Target="../charts/chart67.xml"/><Relationship Id="rId2" Type="http://schemas.openxmlformats.org/officeDocument/2006/relationships/chart" Target="../charts/chart52.xml"/><Relationship Id="rId16" Type="http://schemas.openxmlformats.org/officeDocument/2006/relationships/chart" Target="../charts/chart66.xml"/><Relationship Id="rId20" Type="http://schemas.openxmlformats.org/officeDocument/2006/relationships/chart" Target="../charts/chart70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11" Type="http://schemas.openxmlformats.org/officeDocument/2006/relationships/chart" Target="../charts/chart61.xml"/><Relationship Id="rId5" Type="http://schemas.openxmlformats.org/officeDocument/2006/relationships/chart" Target="../charts/chart55.xml"/><Relationship Id="rId15" Type="http://schemas.openxmlformats.org/officeDocument/2006/relationships/chart" Target="../charts/chart65.xml"/><Relationship Id="rId10" Type="http://schemas.openxmlformats.org/officeDocument/2006/relationships/chart" Target="../charts/chart60.xml"/><Relationship Id="rId19" Type="http://schemas.openxmlformats.org/officeDocument/2006/relationships/chart" Target="../charts/chart69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Relationship Id="rId14" Type="http://schemas.openxmlformats.org/officeDocument/2006/relationships/chart" Target="../charts/chart6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13" Type="http://schemas.openxmlformats.org/officeDocument/2006/relationships/chart" Target="../charts/chart81.xml"/><Relationship Id="rId18" Type="http://schemas.openxmlformats.org/officeDocument/2006/relationships/chart" Target="../charts/chart86.xml"/><Relationship Id="rId3" Type="http://schemas.openxmlformats.org/officeDocument/2006/relationships/chart" Target="../charts/chart71.xml"/><Relationship Id="rId21" Type="http://schemas.openxmlformats.org/officeDocument/2006/relationships/chart" Target="../charts/chart89.xml"/><Relationship Id="rId7" Type="http://schemas.openxmlformats.org/officeDocument/2006/relationships/chart" Target="../charts/chart75.xml"/><Relationship Id="rId12" Type="http://schemas.openxmlformats.org/officeDocument/2006/relationships/chart" Target="../charts/chart80.xml"/><Relationship Id="rId17" Type="http://schemas.openxmlformats.org/officeDocument/2006/relationships/chart" Target="../charts/chart85.xml"/><Relationship Id="rId2" Type="http://schemas.openxmlformats.org/officeDocument/2006/relationships/hyperlink" Target="#'TOU Tariff Comparison HS'!H2"/><Relationship Id="rId16" Type="http://schemas.openxmlformats.org/officeDocument/2006/relationships/chart" Target="../charts/chart84.xml"/><Relationship Id="rId20" Type="http://schemas.openxmlformats.org/officeDocument/2006/relationships/chart" Target="../charts/chart88.xml"/><Relationship Id="rId1" Type="http://schemas.openxmlformats.org/officeDocument/2006/relationships/hyperlink" Target="#'TOU Tariff Comparison LS'!H2"/><Relationship Id="rId6" Type="http://schemas.openxmlformats.org/officeDocument/2006/relationships/chart" Target="../charts/chart74.xml"/><Relationship Id="rId11" Type="http://schemas.openxmlformats.org/officeDocument/2006/relationships/chart" Target="../charts/chart79.xml"/><Relationship Id="rId5" Type="http://schemas.openxmlformats.org/officeDocument/2006/relationships/chart" Target="../charts/chart73.xml"/><Relationship Id="rId15" Type="http://schemas.openxmlformats.org/officeDocument/2006/relationships/chart" Target="../charts/chart83.xml"/><Relationship Id="rId10" Type="http://schemas.openxmlformats.org/officeDocument/2006/relationships/chart" Target="../charts/chart78.xml"/><Relationship Id="rId19" Type="http://schemas.openxmlformats.org/officeDocument/2006/relationships/chart" Target="../charts/chart87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Relationship Id="rId14" Type="http://schemas.openxmlformats.org/officeDocument/2006/relationships/chart" Target="../charts/chart82.xml"/><Relationship Id="rId22" Type="http://schemas.openxmlformats.org/officeDocument/2006/relationships/chart" Target="../charts/chart9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7620</xdr:rowOff>
    </xdr:from>
    <xdr:to>
      <xdr:col>15</xdr:col>
      <xdr:colOff>581891</xdr:colOff>
      <xdr:row>41</xdr:row>
      <xdr:rowOff>19050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98A6AEB-AE87-774B-4FFE-76E079C56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581890</xdr:colOff>
      <xdr:row>0</xdr:row>
      <xdr:rowOff>0</xdr:rowOff>
    </xdr:from>
    <xdr:to>
      <xdr:col>31</xdr:col>
      <xdr:colOff>609599</xdr:colOff>
      <xdr:row>41</xdr:row>
      <xdr:rowOff>-1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BCE3B232-0CA3-9ABB-0EB7-85EB0EACC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2175</xdr:rowOff>
    </xdr:from>
    <xdr:to>
      <xdr:col>10</xdr:col>
      <xdr:colOff>457201</xdr:colOff>
      <xdr:row>25</xdr:row>
      <xdr:rowOff>69274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5A9693E-A3BF-BD64-3CFC-3BAB6F376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453441</xdr:colOff>
      <xdr:row>0</xdr:row>
      <xdr:rowOff>0</xdr:rowOff>
    </xdr:from>
    <xdr:to>
      <xdr:col>22</xdr:col>
      <xdr:colOff>257497</xdr:colOff>
      <xdr:row>25</xdr:row>
      <xdr:rowOff>76201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669182D-26C8-8047-0C09-A02DB7698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40340</xdr:colOff>
      <xdr:row>1</xdr:row>
      <xdr:rowOff>13855</xdr:rowOff>
    </xdr:from>
    <xdr:to>
      <xdr:col>19</xdr:col>
      <xdr:colOff>345140</xdr:colOff>
      <xdr:row>11</xdr:row>
      <xdr:rowOff>13855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44521D-37E9-0916-6730-31599C46C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40341</xdr:colOff>
      <xdr:row>11</xdr:row>
      <xdr:rowOff>8965</xdr:rowOff>
    </xdr:from>
    <xdr:to>
      <xdr:col>19</xdr:col>
      <xdr:colOff>345141</xdr:colOff>
      <xdr:row>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53C1AD-B65A-54C5-57DB-B20ED9C25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35450</xdr:colOff>
      <xdr:row>21</xdr:row>
      <xdr:rowOff>0</xdr:rowOff>
    </xdr:from>
    <xdr:to>
      <xdr:col>19</xdr:col>
      <xdr:colOff>340250</xdr:colOff>
      <xdr:row>31</xdr:row>
      <xdr:rowOff>8965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DA8369-6A2B-3D9C-CCF7-7840DEEBF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40342</xdr:colOff>
      <xdr:row>31</xdr:row>
      <xdr:rowOff>0</xdr:rowOff>
    </xdr:from>
    <xdr:to>
      <xdr:col>19</xdr:col>
      <xdr:colOff>345142</xdr:colOff>
      <xdr:row>42</xdr:row>
      <xdr:rowOff>53788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B845349-C95E-32AD-0244-F18C6BB2C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353225</xdr:colOff>
      <xdr:row>1</xdr:row>
      <xdr:rowOff>2794</xdr:rowOff>
    </xdr:from>
    <xdr:to>
      <xdr:col>27</xdr:col>
      <xdr:colOff>23684</xdr:colOff>
      <xdr:row>11</xdr:row>
      <xdr:rowOff>21771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A5F2EC-3D88-0CBE-49C0-33D348E87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339439</xdr:colOff>
      <xdr:row>11</xdr:row>
      <xdr:rowOff>13854</xdr:rowOff>
    </xdr:from>
    <xdr:to>
      <xdr:col>27</xdr:col>
      <xdr:colOff>34639</xdr:colOff>
      <xdr:row>21</xdr:row>
      <xdr:rowOff>41562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8706C1-309B-6B68-D7E8-FE5359D5E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353291</xdr:colOff>
      <xdr:row>21</xdr:row>
      <xdr:rowOff>0</xdr:rowOff>
    </xdr:from>
    <xdr:to>
      <xdr:col>27</xdr:col>
      <xdr:colOff>48491</xdr:colOff>
      <xdr:row>30</xdr:row>
      <xdr:rowOff>166255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2AB1E2-ED29-410B-BD8D-96C6C8AE2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353291</xdr:colOff>
      <xdr:row>31</xdr:row>
      <xdr:rowOff>0</xdr:rowOff>
    </xdr:from>
    <xdr:to>
      <xdr:col>27</xdr:col>
      <xdr:colOff>48491</xdr:colOff>
      <xdr:row>42</xdr:row>
      <xdr:rowOff>55418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8E659F9-2284-98EF-9B79-8FB5FDF53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</xdr:colOff>
      <xdr:row>0</xdr:row>
      <xdr:rowOff>179070</xdr:rowOff>
    </xdr:from>
    <xdr:to>
      <xdr:col>19</xdr:col>
      <xdr:colOff>320040</xdr:colOff>
      <xdr:row>11</xdr:row>
      <xdr:rowOff>166255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533A21-5EBA-68D4-D6C5-604F3305E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13161</xdr:colOff>
      <xdr:row>11</xdr:row>
      <xdr:rowOff>165710</xdr:rowOff>
    </xdr:from>
    <xdr:to>
      <xdr:col>19</xdr:col>
      <xdr:colOff>317961</xdr:colOff>
      <xdr:row>22</xdr:row>
      <xdr:rowOff>170906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F02249-7645-5901-D9F3-22543B247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22</xdr:row>
      <xdr:rowOff>179070</xdr:rowOff>
    </xdr:from>
    <xdr:to>
      <xdr:col>19</xdr:col>
      <xdr:colOff>312420</xdr:colOff>
      <xdr:row>33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297C79-D58C-942D-932E-247034A1E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326572</xdr:colOff>
      <xdr:row>0</xdr:row>
      <xdr:rowOff>174172</xdr:rowOff>
    </xdr:from>
    <xdr:to>
      <xdr:col>27</xdr:col>
      <xdr:colOff>21772</xdr:colOff>
      <xdr:row>11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465868-58F6-7B30-D133-431A871CC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315686</xdr:colOff>
      <xdr:row>11</xdr:row>
      <xdr:rowOff>163286</xdr:rowOff>
    </xdr:from>
    <xdr:to>
      <xdr:col>27</xdr:col>
      <xdr:colOff>10886</xdr:colOff>
      <xdr:row>22</xdr:row>
      <xdr:rowOff>174172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857457-43BF-4717-66F7-BFFA18D2E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315685</xdr:colOff>
      <xdr:row>22</xdr:row>
      <xdr:rowOff>174172</xdr:rowOff>
    </xdr:from>
    <xdr:to>
      <xdr:col>27</xdr:col>
      <xdr:colOff>10885</xdr:colOff>
      <xdr:row>33</xdr:row>
      <xdr:rowOff>174172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B8BF0B-DBFA-EEC1-46B0-CAA307F7A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6276</xdr:colOff>
      <xdr:row>0</xdr:row>
      <xdr:rowOff>156210</xdr:rowOff>
    </xdr:from>
    <xdr:to>
      <xdr:col>19</xdr:col>
      <xdr:colOff>311076</xdr:colOff>
      <xdr:row>12</xdr:row>
      <xdr:rowOff>19877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4C6CEB-221A-DF79-A700-940B6B7B7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7619</xdr:colOff>
      <xdr:row>12</xdr:row>
      <xdr:rowOff>16711</xdr:rowOff>
    </xdr:from>
    <xdr:to>
      <xdr:col>19</xdr:col>
      <xdr:colOff>312419</xdr:colOff>
      <xdr:row>25</xdr:row>
      <xdr:rowOff>13895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654D0D-5306-C8C6-6EB3-565F35DC1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5009</xdr:colOff>
      <xdr:row>25</xdr:row>
      <xdr:rowOff>21505</xdr:rowOff>
    </xdr:from>
    <xdr:to>
      <xdr:col>19</xdr:col>
      <xdr:colOff>312420</xdr:colOff>
      <xdr:row>36</xdr:row>
      <xdr:rowOff>165206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5505E4-72B0-E666-F5F2-F0E8C2976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8980</xdr:colOff>
      <xdr:row>36</xdr:row>
      <xdr:rowOff>160564</xdr:rowOff>
    </xdr:from>
    <xdr:to>
      <xdr:col>19</xdr:col>
      <xdr:colOff>313780</xdr:colOff>
      <xdr:row>48</xdr:row>
      <xdr:rowOff>174171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D15A38C-71F9-FC54-E994-9EC7CE4D9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10886</xdr:colOff>
      <xdr:row>48</xdr:row>
      <xdr:rowOff>174171</xdr:rowOff>
    </xdr:from>
    <xdr:to>
      <xdr:col>19</xdr:col>
      <xdr:colOff>315686</xdr:colOff>
      <xdr:row>60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811753C-F013-7B56-F87F-A735EADFD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10887</xdr:colOff>
      <xdr:row>60</xdr:row>
      <xdr:rowOff>152399</xdr:rowOff>
    </xdr:from>
    <xdr:to>
      <xdr:col>19</xdr:col>
      <xdr:colOff>315687</xdr:colOff>
      <xdr:row>72</xdr:row>
      <xdr:rowOff>130627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236C8A4-B3DC-E1CF-77BE-C7A380AB6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315686</xdr:colOff>
      <xdr:row>0</xdr:row>
      <xdr:rowOff>152400</xdr:rowOff>
    </xdr:from>
    <xdr:to>
      <xdr:col>27</xdr:col>
      <xdr:colOff>10886</xdr:colOff>
      <xdr:row>12</xdr:row>
      <xdr:rowOff>21771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6713B62-2F34-1434-BC84-4D7C4C89C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317608</xdr:colOff>
      <xdr:row>12</xdr:row>
      <xdr:rowOff>14727</xdr:rowOff>
    </xdr:from>
    <xdr:to>
      <xdr:col>27</xdr:col>
      <xdr:colOff>12808</xdr:colOff>
      <xdr:row>25</xdr:row>
      <xdr:rowOff>17929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B880C7-BC30-0D0D-B622-DC8092767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319347</xdr:colOff>
      <xdr:row>25</xdr:row>
      <xdr:rowOff>15932</xdr:rowOff>
    </xdr:from>
    <xdr:to>
      <xdr:col>27</xdr:col>
      <xdr:colOff>14547</xdr:colOff>
      <xdr:row>36</xdr:row>
      <xdr:rowOff>160020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AB6AAB2-0315-BEA1-6CA1-0FE41A053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319768</xdr:colOff>
      <xdr:row>36</xdr:row>
      <xdr:rowOff>163285</xdr:rowOff>
    </xdr:from>
    <xdr:to>
      <xdr:col>27</xdr:col>
      <xdr:colOff>14968</xdr:colOff>
      <xdr:row>48</xdr:row>
      <xdr:rowOff>174171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D1FCB33-BFB4-5315-063D-86157F6C6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315685</xdr:colOff>
      <xdr:row>48</xdr:row>
      <xdr:rowOff>174171</xdr:rowOff>
    </xdr:from>
    <xdr:to>
      <xdr:col>27</xdr:col>
      <xdr:colOff>10885</xdr:colOff>
      <xdr:row>60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F858782-C2B1-56A2-5D5F-5A3E5482C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315686</xdr:colOff>
      <xdr:row>60</xdr:row>
      <xdr:rowOff>152400</xdr:rowOff>
    </xdr:from>
    <xdr:to>
      <xdr:col>27</xdr:col>
      <xdr:colOff>10886</xdr:colOff>
      <xdr:row>72</xdr:row>
      <xdr:rowOff>130628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908B05-511C-EA4D-B6AC-823269803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8516</xdr:colOff>
      <xdr:row>2</xdr:row>
      <xdr:rowOff>9638</xdr:rowOff>
    </xdr:from>
    <xdr:to>
      <xdr:col>23</xdr:col>
      <xdr:colOff>322729</xdr:colOff>
      <xdr:row>13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D6D465-8CC2-FD27-A2D1-06E6901E0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313766</xdr:colOff>
      <xdr:row>2</xdr:row>
      <xdr:rowOff>8966</xdr:rowOff>
    </xdr:from>
    <xdr:to>
      <xdr:col>31</xdr:col>
      <xdr:colOff>17930</xdr:colOff>
      <xdr:row>13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797819-28F1-EE97-C7DB-0561F0487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13447</xdr:colOff>
      <xdr:row>13</xdr:row>
      <xdr:rowOff>1</xdr:rowOff>
    </xdr:from>
    <xdr:to>
      <xdr:col>23</xdr:col>
      <xdr:colOff>318247</xdr:colOff>
      <xdr:row>24</xdr:row>
      <xdr:rowOff>17929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6B7E4E-B073-86CE-F30D-4480EFE8F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318247</xdr:colOff>
      <xdr:row>13</xdr:row>
      <xdr:rowOff>1</xdr:rowOff>
    </xdr:from>
    <xdr:to>
      <xdr:col>31</xdr:col>
      <xdr:colOff>13447</xdr:colOff>
      <xdr:row>24</xdr:row>
      <xdr:rowOff>17929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1EBE90-67DF-C417-ACA0-D00C95846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13447</xdr:colOff>
      <xdr:row>24</xdr:row>
      <xdr:rowOff>17929</xdr:rowOff>
    </xdr:from>
    <xdr:to>
      <xdr:col>23</xdr:col>
      <xdr:colOff>318247</xdr:colOff>
      <xdr:row>35</xdr:row>
      <xdr:rowOff>17929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08F778-B2BD-5E4E-07A3-CD8CD6F1C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313125</xdr:colOff>
      <xdr:row>24</xdr:row>
      <xdr:rowOff>14728</xdr:rowOff>
    </xdr:from>
    <xdr:to>
      <xdr:col>31</xdr:col>
      <xdr:colOff>10886</xdr:colOff>
      <xdr:row>35</xdr:row>
      <xdr:rowOff>17929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6F24C74-1215-383A-6991-80AB92E78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10885</xdr:colOff>
      <xdr:row>35</xdr:row>
      <xdr:rowOff>21772</xdr:rowOff>
    </xdr:from>
    <xdr:to>
      <xdr:col>23</xdr:col>
      <xdr:colOff>315685</xdr:colOff>
      <xdr:row>46</xdr:row>
      <xdr:rowOff>10885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5537141-C8A2-E647-2DCF-A35390144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315685</xdr:colOff>
      <xdr:row>35</xdr:row>
      <xdr:rowOff>21772</xdr:rowOff>
    </xdr:from>
    <xdr:to>
      <xdr:col>31</xdr:col>
      <xdr:colOff>10885</xdr:colOff>
      <xdr:row>46</xdr:row>
      <xdr:rowOff>10885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BB31DD8-8243-DD38-D6E3-3A3B00F7D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10886</xdr:colOff>
      <xdr:row>46</xdr:row>
      <xdr:rowOff>10884</xdr:rowOff>
    </xdr:from>
    <xdr:to>
      <xdr:col>23</xdr:col>
      <xdr:colOff>315686</xdr:colOff>
      <xdr:row>59</xdr:row>
      <xdr:rowOff>10885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E1B1A8C-628C-89F5-0D27-34B4793FE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315686</xdr:colOff>
      <xdr:row>46</xdr:row>
      <xdr:rowOff>10886</xdr:rowOff>
    </xdr:from>
    <xdr:to>
      <xdr:col>31</xdr:col>
      <xdr:colOff>10886</xdr:colOff>
      <xdr:row>59</xdr:row>
      <xdr:rowOff>10886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A97A3F2-C2C1-63DE-4A34-EF4B8078C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10886</xdr:colOff>
      <xdr:row>59</xdr:row>
      <xdr:rowOff>10886</xdr:rowOff>
    </xdr:from>
    <xdr:to>
      <xdr:col>23</xdr:col>
      <xdr:colOff>315686</xdr:colOff>
      <xdr:row>72</xdr:row>
      <xdr:rowOff>21771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AE0758-FC34-AB6C-009C-81470463F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315686</xdr:colOff>
      <xdr:row>59</xdr:row>
      <xdr:rowOff>10884</xdr:rowOff>
    </xdr:from>
    <xdr:to>
      <xdr:col>31</xdr:col>
      <xdr:colOff>10886</xdr:colOff>
      <xdr:row>72</xdr:row>
      <xdr:rowOff>21770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3B7C4C8-20EA-507D-23DA-CC758E621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10887</xdr:colOff>
      <xdr:row>72</xdr:row>
      <xdr:rowOff>21770</xdr:rowOff>
    </xdr:from>
    <xdr:to>
      <xdr:col>23</xdr:col>
      <xdr:colOff>315687</xdr:colOff>
      <xdr:row>85</xdr:row>
      <xdr:rowOff>10885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C503755-5CC5-F8B4-2A8F-BFCE1F6B0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315686</xdr:colOff>
      <xdr:row>72</xdr:row>
      <xdr:rowOff>21771</xdr:rowOff>
    </xdr:from>
    <xdr:to>
      <xdr:col>31</xdr:col>
      <xdr:colOff>10886</xdr:colOff>
      <xdr:row>85</xdr:row>
      <xdr:rowOff>10886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EB4F0D4-6E41-C197-25FE-7AB04C8A5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10886</xdr:colOff>
      <xdr:row>85</xdr:row>
      <xdr:rowOff>10885</xdr:rowOff>
    </xdr:from>
    <xdr:to>
      <xdr:col>23</xdr:col>
      <xdr:colOff>315686</xdr:colOff>
      <xdr:row>98</xdr:row>
      <xdr:rowOff>10885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E5B02A8-0AA9-3253-7326-DF426B977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315686</xdr:colOff>
      <xdr:row>85</xdr:row>
      <xdr:rowOff>10886</xdr:rowOff>
    </xdr:from>
    <xdr:to>
      <xdr:col>31</xdr:col>
      <xdr:colOff>10886</xdr:colOff>
      <xdr:row>98</xdr:row>
      <xdr:rowOff>10886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7EB4963-4A05-CD61-F352-69BB4D419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10886</xdr:colOff>
      <xdr:row>98</xdr:row>
      <xdr:rowOff>10884</xdr:rowOff>
    </xdr:from>
    <xdr:to>
      <xdr:col>23</xdr:col>
      <xdr:colOff>315686</xdr:colOff>
      <xdr:row>111</xdr:row>
      <xdr:rowOff>10884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149F80A-4832-C7EA-656E-242A856A7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315686</xdr:colOff>
      <xdr:row>98</xdr:row>
      <xdr:rowOff>10885</xdr:rowOff>
    </xdr:from>
    <xdr:to>
      <xdr:col>31</xdr:col>
      <xdr:colOff>10886</xdr:colOff>
      <xdr:row>111</xdr:row>
      <xdr:rowOff>10885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F2FF922-1B5F-1E6E-06B7-896D37335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10886</xdr:colOff>
      <xdr:row>111</xdr:row>
      <xdr:rowOff>10885</xdr:rowOff>
    </xdr:from>
    <xdr:to>
      <xdr:col>23</xdr:col>
      <xdr:colOff>315686</xdr:colOff>
      <xdr:row>122</xdr:row>
      <xdr:rowOff>174171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F2A9C83-90CF-2068-57CD-F7D94E569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315686</xdr:colOff>
      <xdr:row>111</xdr:row>
      <xdr:rowOff>10885</xdr:rowOff>
    </xdr:from>
    <xdr:to>
      <xdr:col>31</xdr:col>
      <xdr:colOff>10886</xdr:colOff>
      <xdr:row>122</xdr:row>
      <xdr:rowOff>174171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BAECA581-72C5-C6CC-E2F3-75C24CFA2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6403</xdr:colOff>
      <xdr:row>1</xdr:row>
      <xdr:rowOff>182497</xdr:rowOff>
    </xdr:from>
    <xdr:to>
      <xdr:col>23</xdr:col>
      <xdr:colOff>87086</xdr:colOff>
      <xdr:row>13</xdr:row>
      <xdr:rowOff>10885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E8F9C7-193D-B931-C309-2477ADC45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87085</xdr:colOff>
      <xdr:row>2</xdr:row>
      <xdr:rowOff>10886</xdr:rowOff>
    </xdr:from>
    <xdr:to>
      <xdr:col>30</xdr:col>
      <xdr:colOff>163286</xdr:colOff>
      <xdr:row>13</xdr:row>
      <xdr:rowOff>10886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A6F8A2-4680-18D6-A58B-8EB924960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10886</xdr:colOff>
      <xdr:row>13</xdr:row>
      <xdr:rowOff>10886</xdr:rowOff>
    </xdr:from>
    <xdr:to>
      <xdr:col>23</xdr:col>
      <xdr:colOff>87086</xdr:colOff>
      <xdr:row>24</xdr:row>
      <xdr:rowOff>21772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E0CBE5-FD8E-4315-C0C4-FD084578D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87086</xdr:colOff>
      <xdr:row>13</xdr:row>
      <xdr:rowOff>10886</xdr:rowOff>
    </xdr:from>
    <xdr:to>
      <xdr:col>30</xdr:col>
      <xdr:colOff>163286</xdr:colOff>
      <xdr:row>24</xdr:row>
      <xdr:rowOff>21772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F963AB-9AF7-7C75-2CF8-1A1267319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6350</xdr:colOff>
      <xdr:row>24</xdr:row>
      <xdr:rowOff>19050</xdr:rowOff>
    </xdr:from>
    <xdr:to>
      <xdr:col>23</xdr:col>
      <xdr:colOff>88900</xdr:colOff>
      <xdr:row>35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6EA5B07-3A54-1E3B-A413-C79864A55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82550</xdr:colOff>
      <xdr:row>24</xdr:row>
      <xdr:rowOff>19050</xdr:rowOff>
    </xdr:from>
    <xdr:to>
      <xdr:col>30</xdr:col>
      <xdr:colOff>165100</xdr:colOff>
      <xdr:row>35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ED3DBF9-1579-6D63-0447-F430F1CBE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6350</xdr:colOff>
      <xdr:row>35</xdr:row>
      <xdr:rowOff>19050</xdr:rowOff>
    </xdr:from>
    <xdr:to>
      <xdr:col>23</xdr:col>
      <xdr:colOff>88900</xdr:colOff>
      <xdr:row>46</xdr:row>
      <xdr:rowOff>25400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E4CE65E-C6A8-0EDC-5558-E7C457797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82550</xdr:colOff>
      <xdr:row>35</xdr:row>
      <xdr:rowOff>19050</xdr:rowOff>
    </xdr:from>
    <xdr:to>
      <xdr:col>30</xdr:col>
      <xdr:colOff>387350</xdr:colOff>
      <xdr:row>46</xdr:row>
      <xdr:rowOff>25400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98569E8-AFF6-A00C-C895-67396F947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6350</xdr:colOff>
      <xdr:row>46</xdr:row>
      <xdr:rowOff>19050</xdr:rowOff>
    </xdr:from>
    <xdr:to>
      <xdr:col>23</xdr:col>
      <xdr:colOff>88900</xdr:colOff>
      <xdr:row>59</xdr:row>
      <xdr:rowOff>12700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F527E56-2678-5863-E87F-39100386A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82550</xdr:colOff>
      <xdr:row>46</xdr:row>
      <xdr:rowOff>19050</xdr:rowOff>
    </xdr:from>
    <xdr:to>
      <xdr:col>30</xdr:col>
      <xdr:colOff>387350</xdr:colOff>
      <xdr:row>59</xdr:row>
      <xdr:rowOff>12700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DFE49D8-47B0-0C08-D0C3-3F65A51C1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6350</xdr:colOff>
      <xdr:row>59</xdr:row>
      <xdr:rowOff>6350</xdr:rowOff>
    </xdr:from>
    <xdr:to>
      <xdr:col>23</xdr:col>
      <xdr:colOff>88900</xdr:colOff>
      <xdr:row>72</xdr:row>
      <xdr:rowOff>12700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CF7C47-EF16-4E13-F904-3E3E6F228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82550</xdr:colOff>
      <xdr:row>59</xdr:row>
      <xdr:rowOff>6350</xdr:rowOff>
    </xdr:from>
    <xdr:to>
      <xdr:col>30</xdr:col>
      <xdr:colOff>387350</xdr:colOff>
      <xdr:row>72</xdr:row>
      <xdr:rowOff>12700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67AE754-FCFF-EB06-BB1F-D9D702763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6350</xdr:colOff>
      <xdr:row>72</xdr:row>
      <xdr:rowOff>6350</xdr:rowOff>
    </xdr:from>
    <xdr:to>
      <xdr:col>23</xdr:col>
      <xdr:colOff>88900</xdr:colOff>
      <xdr:row>85</xdr:row>
      <xdr:rowOff>12700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EEA20AB-2268-934A-A08A-F4EE743E6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82550</xdr:colOff>
      <xdr:row>72</xdr:row>
      <xdr:rowOff>6350</xdr:rowOff>
    </xdr:from>
    <xdr:to>
      <xdr:col>30</xdr:col>
      <xdr:colOff>387350</xdr:colOff>
      <xdr:row>85</xdr:row>
      <xdr:rowOff>12700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954FDD7-0DE8-548C-3B39-B0A6EEB43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6350</xdr:colOff>
      <xdr:row>85</xdr:row>
      <xdr:rowOff>6350</xdr:rowOff>
    </xdr:from>
    <xdr:to>
      <xdr:col>23</xdr:col>
      <xdr:colOff>88900</xdr:colOff>
      <xdr:row>98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9AEA33E-F726-E162-D4C3-B8273D7BF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82550</xdr:colOff>
      <xdr:row>85</xdr:row>
      <xdr:rowOff>6350</xdr:rowOff>
    </xdr:from>
    <xdr:to>
      <xdr:col>30</xdr:col>
      <xdr:colOff>387350</xdr:colOff>
      <xdr:row>98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D0EBB1F-A6D9-4A65-F54C-607779440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</xdr:colOff>
      <xdr:row>97</xdr:row>
      <xdr:rowOff>171450</xdr:rowOff>
    </xdr:from>
    <xdr:to>
      <xdr:col>23</xdr:col>
      <xdr:colOff>88900</xdr:colOff>
      <xdr:row>111</xdr:row>
      <xdr:rowOff>12700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D4C6860-2259-93ED-E7E3-0E53737B2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82550</xdr:colOff>
      <xdr:row>97</xdr:row>
      <xdr:rowOff>171450</xdr:rowOff>
    </xdr:from>
    <xdr:to>
      <xdr:col>30</xdr:col>
      <xdr:colOff>387350</xdr:colOff>
      <xdr:row>111</xdr:row>
      <xdr:rowOff>12700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231D1A9-3258-291A-13B7-F9E4DCE68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6350</xdr:colOff>
      <xdr:row>111</xdr:row>
      <xdr:rowOff>6350</xdr:rowOff>
    </xdr:from>
    <xdr:to>
      <xdr:col>23</xdr:col>
      <xdr:colOff>88900</xdr:colOff>
      <xdr:row>123</xdr:row>
      <xdr:rowOff>76200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B3F155D-2DBF-81F5-51AD-38A842F0C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82550</xdr:colOff>
      <xdr:row>111</xdr:row>
      <xdr:rowOff>6350</xdr:rowOff>
    </xdr:from>
    <xdr:to>
      <xdr:col>30</xdr:col>
      <xdr:colOff>387350</xdr:colOff>
      <xdr:row>123</xdr:row>
      <xdr:rowOff>76200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91199D9B-6C54-C993-DFDE-DB3A5B727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45720</xdr:rowOff>
    </xdr:from>
    <xdr:to>
      <xdr:col>4</xdr:col>
      <xdr:colOff>106680</xdr:colOff>
      <xdr:row>5</xdr:row>
      <xdr:rowOff>99060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CDFE79-3635-F17B-1ED7-563720513085}"/>
            </a:ext>
          </a:extLst>
        </xdr:cNvPr>
        <xdr:cNvSpPr/>
      </xdr:nvSpPr>
      <xdr:spPr>
        <a:xfrm>
          <a:off x="152400" y="693420"/>
          <a:ext cx="233172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ZA" sz="1100" b="1"/>
            <a:t>TOU Low</a:t>
          </a:r>
          <a:r>
            <a:rPr lang="en-ZA" sz="1100" b="1" baseline="0"/>
            <a:t> Season Comparison</a:t>
          </a:r>
          <a:endParaRPr lang="en-ZA" sz="1100" b="1"/>
        </a:p>
      </xdr:txBody>
    </xdr:sp>
    <xdr:clientData/>
  </xdr:twoCellAnchor>
  <xdr:twoCellAnchor>
    <xdr:from>
      <xdr:col>6</xdr:col>
      <xdr:colOff>259080</xdr:colOff>
      <xdr:row>3</xdr:row>
      <xdr:rowOff>53340</xdr:rowOff>
    </xdr:from>
    <xdr:to>
      <xdr:col>9</xdr:col>
      <xdr:colOff>594360</xdr:colOff>
      <xdr:row>5</xdr:row>
      <xdr:rowOff>106680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F9E0B1-EB44-42E3-A3CA-5A5A7135B4C2}"/>
            </a:ext>
          </a:extLst>
        </xdr:cNvPr>
        <xdr:cNvSpPr/>
      </xdr:nvSpPr>
      <xdr:spPr>
        <a:xfrm>
          <a:off x="4030980" y="701040"/>
          <a:ext cx="233172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ZA" sz="1100" b="1"/>
            <a:t>TOU High</a:t>
          </a:r>
          <a:r>
            <a:rPr lang="en-ZA" sz="1100" b="1" baseline="0"/>
            <a:t> Season Comparison</a:t>
          </a:r>
          <a:endParaRPr lang="en-ZA" sz="1100" b="1"/>
        </a:p>
      </xdr:txBody>
    </xdr:sp>
    <xdr:clientData/>
  </xdr:twoCellAnchor>
  <xdr:twoCellAnchor>
    <xdr:from>
      <xdr:col>10</xdr:col>
      <xdr:colOff>15240</xdr:colOff>
      <xdr:row>5</xdr:row>
      <xdr:rowOff>171450</xdr:rowOff>
    </xdr:from>
    <xdr:to>
      <xdr:col>16</xdr:col>
      <xdr:colOff>175260</xdr:colOff>
      <xdr:row>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0250D7-B04F-9790-3D8C-B1CAA7CFF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175260</xdr:colOff>
      <xdr:row>5</xdr:row>
      <xdr:rowOff>179070</xdr:rowOff>
    </xdr:from>
    <xdr:to>
      <xdr:col>22</xdr:col>
      <xdr:colOff>335280</xdr:colOff>
      <xdr:row>15</xdr:row>
      <xdr:rowOff>181440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DFB418-EC24-5B6D-83C7-84DF40CA6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7620</xdr:colOff>
      <xdr:row>15</xdr:row>
      <xdr:rowOff>179070</xdr:rowOff>
    </xdr:from>
    <xdr:to>
      <xdr:col>16</xdr:col>
      <xdr:colOff>175260</xdr:colOff>
      <xdr:row>25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67040C-306B-AF67-8424-1C1A088A3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175260</xdr:colOff>
      <xdr:row>15</xdr:row>
      <xdr:rowOff>179070</xdr:rowOff>
    </xdr:from>
    <xdr:to>
      <xdr:col>22</xdr:col>
      <xdr:colOff>342900</xdr:colOff>
      <xdr:row>25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1C35FF-CC32-9626-AD11-589CE2B19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7620</xdr:colOff>
      <xdr:row>25</xdr:row>
      <xdr:rowOff>171450</xdr:rowOff>
    </xdr:from>
    <xdr:to>
      <xdr:col>16</xdr:col>
      <xdr:colOff>175260</xdr:colOff>
      <xdr:row>36</xdr:row>
      <xdr:rowOff>7620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2315D87-3527-98EA-E927-E68E93847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175260</xdr:colOff>
      <xdr:row>25</xdr:row>
      <xdr:rowOff>171450</xdr:rowOff>
    </xdr:from>
    <xdr:to>
      <xdr:col>22</xdr:col>
      <xdr:colOff>342900</xdr:colOff>
      <xdr:row>36</xdr:row>
      <xdr:rowOff>7620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7CF1B3F-ECC0-EF65-89CA-CC77EA732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15240</xdr:colOff>
      <xdr:row>36</xdr:row>
      <xdr:rowOff>3810</xdr:rowOff>
    </xdr:from>
    <xdr:to>
      <xdr:col>16</xdr:col>
      <xdr:colOff>175260</xdr:colOff>
      <xdr:row>46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58393AC-CB1C-7204-E7B9-C3F2A3E06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175260</xdr:colOff>
      <xdr:row>36</xdr:row>
      <xdr:rowOff>3810</xdr:rowOff>
    </xdr:from>
    <xdr:to>
      <xdr:col>22</xdr:col>
      <xdr:colOff>335280</xdr:colOff>
      <xdr:row>46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705A2E5-882F-58B3-587A-4E42105AA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15240</xdr:colOff>
      <xdr:row>45</xdr:row>
      <xdr:rowOff>179070</xdr:rowOff>
    </xdr:from>
    <xdr:to>
      <xdr:col>16</xdr:col>
      <xdr:colOff>175260</xdr:colOff>
      <xdr:row>58</xdr:row>
      <xdr:rowOff>7620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1B0C0F5-BD06-32A5-D2F9-643186B54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175260</xdr:colOff>
      <xdr:row>45</xdr:row>
      <xdr:rowOff>179070</xdr:rowOff>
    </xdr:from>
    <xdr:to>
      <xdr:col>22</xdr:col>
      <xdr:colOff>335280</xdr:colOff>
      <xdr:row>58</xdr:row>
      <xdr:rowOff>7620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767D201-F5BF-E031-3FC7-109C38349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15240</xdr:colOff>
      <xdr:row>58</xdr:row>
      <xdr:rowOff>3810</xdr:rowOff>
    </xdr:from>
    <xdr:to>
      <xdr:col>16</xdr:col>
      <xdr:colOff>175260</xdr:colOff>
      <xdr:row>70</xdr:row>
      <xdr:rowOff>7620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F8D76ED-F003-D78C-273E-DD61B8D52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175260</xdr:colOff>
      <xdr:row>58</xdr:row>
      <xdr:rowOff>3810</xdr:rowOff>
    </xdr:from>
    <xdr:to>
      <xdr:col>22</xdr:col>
      <xdr:colOff>335280</xdr:colOff>
      <xdr:row>70</xdr:row>
      <xdr:rowOff>7620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4AE40A1-26B4-524E-2816-31C9AC930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15240</xdr:colOff>
      <xdr:row>70</xdr:row>
      <xdr:rowOff>3810</xdr:rowOff>
    </xdr:from>
    <xdr:to>
      <xdr:col>16</xdr:col>
      <xdr:colOff>175260</xdr:colOff>
      <xdr:row>82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F12EF4D-78DA-941D-452E-F43807531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175260</xdr:colOff>
      <xdr:row>70</xdr:row>
      <xdr:rowOff>3810</xdr:rowOff>
    </xdr:from>
    <xdr:to>
      <xdr:col>22</xdr:col>
      <xdr:colOff>335280</xdr:colOff>
      <xdr:row>82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4B46A80-3A9B-1DC1-6E89-2CC685AB8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15240</xdr:colOff>
      <xdr:row>81</xdr:row>
      <xdr:rowOff>179070</xdr:rowOff>
    </xdr:from>
    <xdr:to>
      <xdr:col>16</xdr:col>
      <xdr:colOff>175260</xdr:colOff>
      <xdr:row>94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F4FBA70-1313-D1BA-F045-24DA57CAB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175260</xdr:colOff>
      <xdr:row>81</xdr:row>
      <xdr:rowOff>179070</xdr:rowOff>
    </xdr:from>
    <xdr:to>
      <xdr:col>22</xdr:col>
      <xdr:colOff>335280</xdr:colOff>
      <xdr:row>94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7AE1A49-8478-75D4-A4D7-59BC23786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15240</xdr:colOff>
      <xdr:row>94</xdr:row>
      <xdr:rowOff>3810</xdr:rowOff>
    </xdr:from>
    <xdr:to>
      <xdr:col>16</xdr:col>
      <xdr:colOff>175260</xdr:colOff>
      <xdr:row>106</xdr:row>
      <xdr:rowOff>7620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F5C3EC2F-E14F-5DC7-98C8-7242EF3EA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175260</xdr:colOff>
      <xdr:row>94</xdr:row>
      <xdr:rowOff>3810</xdr:rowOff>
    </xdr:from>
    <xdr:to>
      <xdr:col>22</xdr:col>
      <xdr:colOff>335280</xdr:colOff>
      <xdr:row>106</xdr:row>
      <xdr:rowOff>7620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9748675-C21F-EC69-85C3-B880CFCCF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22860</xdr:colOff>
      <xdr:row>106</xdr:row>
      <xdr:rowOff>3810</xdr:rowOff>
    </xdr:from>
    <xdr:to>
      <xdr:col>16</xdr:col>
      <xdr:colOff>175260</xdr:colOff>
      <xdr:row>118</xdr:row>
      <xdr:rowOff>22860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C2F7461-D4B5-33F0-D49B-8F270EC55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175260</xdr:colOff>
      <xdr:row>106</xdr:row>
      <xdr:rowOff>3810</xdr:rowOff>
    </xdr:from>
    <xdr:to>
      <xdr:col>22</xdr:col>
      <xdr:colOff>327660</xdr:colOff>
      <xdr:row>118</xdr:row>
      <xdr:rowOff>22860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C24F435E-C484-D18C-6CC5-D08D4444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1082-5495-496D-AB35-E531FC0654EE}">
  <sheetPr>
    <tabColor rgb="FFFFFF00"/>
  </sheetPr>
  <dimension ref="A3:AG74"/>
  <sheetViews>
    <sheetView showGridLines="0" tabSelected="1" topLeftCell="A22" zoomScale="70" zoomScaleNormal="70" workbookViewId="0">
      <selection activeCell="E49" sqref="E49"/>
    </sheetView>
  </sheetViews>
  <sheetFormatPr defaultRowHeight="14.4" x14ac:dyDescent="0.3"/>
  <cols>
    <col min="1" max="1" width="2.77734375" customWidth="1"/>
    <col min="2" max="2" width="8.88671875" customWidth="1"/>
    <col min="4" max="4" width="16.44140625" bestFit="1" customWidth="1"/>
    <col min="5" max="5" width="17.88671875" bestFit="1" customWidth="1"/>
    <col min="6" max="6" width="17.88671875" customWidth="1"/>
    <col min="7" max="7" width="16.109375" customWidth="1"/>
    <col min="8" max="8" width="16.6640625" bestFit="1" customWidth="1"/>
    <col min="9" max="9" width="18" customWidth="1"/>
    <col min="10" max="10" width="17.44140625" customWidth="1"/>
    <col min="11" max="11" width="14.6640625" customWidth="1"/>
    <col min="12" max="12" width="15.6640625" customWidth="1"/>
    <col min="13" max="13" width="15.77734375" customWidth="1"/>
    <col min="14" max="14" width="14.6640625" customWidth="1"/>
    <col min="15" max="15" width="18.6640625" customWidth="1"/>
    <col min="16" max="16" width="14.5546875" customWidth="1"/>
    <col min="17" max="17" width="16.33203125" customWidth="1"/>
    <col min="18" max="18" width="15.88671875" customWidth="1"/>
    <col min="19" max="19" width="19.109375" customWidth="1"/>
    <col min="20" max="20" width="17.44140625" customWidth="1"/>
    <col min="21" max="21" width="19.5546875" customWidth="1"/>
    <col min="22" max="22" width="14.44140625" customWidth="1"/>
    <col min="23" max="23" width="17.109375" customWidth="1"/>
    <col min="24" max="24" width="14.77734375" customWidth="1"/>
    <col min="25" max="25" width="8.21875" customWidth="1"/>
    <col min="26" max="26" width="21" customWidth="1"/>
    <col min="27" max="27" width="21.6640625" customWidth="1"/>
    <col min="28" max="28" width="20.77734375" customWidth="1"/>
    <col min="29" max="29" width="13" customWidth="1"/>
    <col min="31" max="31" width="39" customWidth="1"/>
    <col min="32" max="32" width="12.21875" customWidth="1"/>
    <col min="33" max="33" width="12.88671875" customWidth="1"/>
  </cols>
  <sheetData>
    <row r="3" spans="2:25" ht="15" thickBot="1" x14ac:dyDescent="0.35"/>
    <row r="4" spans="2:25" ht="15" thickTop="1" x14ac:dyDescent="0.3">
      <c r="D4" s="232" t="s">
        <v>12</v>
      </c>
      <c r="E4" s="233"/>
      <c r="F4" s="199" t="s">
        <v>28</v>
      </c>
      <c r="G4" s="200"/>
      <c r="I4" s="210" t="s">
        <v>27</v>
      </c>
      <c r="J4" s="211"/>
      <c r="K4" s="211"/>
      <c r="L4" s="211"/>
      <c r="M4" s="211"/>
      <c r="N4" s="211"/>
      <c r="O4" s="211"/>
      <c r="P4" s="212"/>
    </row>
    <row r="5" spans="2:25" ht="15" thickBot="1" x14ac:dyDescent="0.35">
      <c r="D5" s="234"/>
      <c r="E5" s="235"/>
      <c r="F5" s="201"/>
      <c r="G5" s="202"/>
      <c r="I5" s="213"/>
      <c r="J5" s="214"/>
      <c r="K5" s="214"/>
      <c r="L5" s="214"/>
      <c r="M5" s="214"/>
      <c r="N5" s="214"/>
      <c r="O5" s="214"/>
      <c r="P5" s="215"/>
    </row>
    <row r="6" spans="2:25" x14ac:dyDescent="0.3">
      <c r="D6" s="232" t="s">
        <v>13</v>
      </c>
      <c r="E6" s="233"/>
      <c r="F6" s="199" t="s">
        <v>36</v>
      </c>
      <c r="G6" s="200"/>
      <c r="I6" s="213"/>
      <c r="J6" s="214"/>
      <c r="K6" s="214"/>
      <c r="L6" s="214"/>
      <c r="M6" s="214"/>
      <c r="N6" s="214"/>
      <c r="O6" s="214"/>
      <c r="P6" s="215"/>
    </row>
    <row r="7" spans="2:25" ht="15" thickBot="1" x14ac:dyDescent="0.35">
      <c r="D7" s="234"/>
      <c r="E7" s="235"/>
      <c r="F7" s="201"/>
      <c r="G7" s="202"/>
      <c r="I7" s="216"/>
      <c r="J7" s="217"/>
      <c r="K7" s="217"/>
      <c r="L7" s="217"/>
      <c r="M7" s="217"/>
      <c r="N7" s="217"/>
      <c r="O7" s="217"/>
      <c r="P7" s="218"/>
    </row>
    <row r="9" spans="2:25" ht="14.4" customHeight="1" x14ac:dyDescent="0.3">
      <c r="C9" s="184" t="s">
        <v>53</v>
      </c>
      <c r="D9" s="185"/>
    </row>
    <row r="10" spans="2:25" ht="16.2" customHeight="1" x14ac:dyDescent="0.3">
      <c r="C10" s="186"/>
      <c r="D10" s="187"/>
      <c r="T10" s="6"/>
      <c r="U10" s="6"/>
    </row>
    <row r="11" spans="2:25" ht="17.399999999999999" customHeight="1" x14ac:dyDescent="0.3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R11" s="203" t="s">
        <v>60</v>
      </c>
      <c r="S11" s="204"/>
    </row>
    <row r="12" spans="2:25" ht="24.6" customHeight="1" x14ac:dyDescent="0.3">
      <c r="B12" s="7"/>
      <c r="C12" s="219" t="s">
        <v>14</v>
      </c>
      <c r="D12" s="221" t="s">
        <v>0</v>
      </c>
      <c r="E12" s="145" t="str">
        <f>F4 &amp;" Tariff"</f>
        <v>Year 1 Tariff</v>
      </c>
      <c r="F12" s="145"/>
      <c r="G12" s="169"/>
      <c r="H12" s="145" t="str">
        <f>F6 &amp;" Tariff"</f>
        <v>Year 2 Tariff</v>
      </c>
      <c r="I12" s="145"/>
      <c r="J12" s="169"/>
      <c r="K12" s="147" t="s">
        <v>42</v>
      </c>
      <c r="L12" s="147"/>
      <c r="M12" s="209"/>
      <c r="N12" s="145" t="s">
        <v>11</v>
      </c>
      <c r="O12" s="145"/>
      <c r="P12" s="146"/>
      <c r="R12" s="198"/>
      <c r="S12" s="205"/>
    </row>
    <row r="13" spans="2:25" ht="30.6" customHeight="1" x14ac:dyDescent="0.3">
      <c r="B13" s="7"/>
      <c r="C13" s="220"/>
      <c r="D13" s="222"/>
      <c r="E13" s="93" t="s">
        <v>6</v>
      </c>
      <c r="F13" s="8" t="s">
        <v>33</v>
      </c>
      <c r="G13" s="112" t="s">
        <v>34</v>
      </c>
      <c r="H13" s="93" t="s">
        <v>15</v>
      </c>
      <c r="I13" s="8" t="s">
        <v>33</v>
      </c>
      <c r="J13" s="112" t="s">
        <v>34</v>
      </c>
      <c r="K13" s="93" t="s">
        <v>5</v>
      </c>
      <c r="L13" s="17" t="s">
        <v>8</v>
      </c>
      <c r="M13" s="100" t="s">
        <v>7</v>
      </c>
      <c r="N13" s="38" t="s">
        <v>5</v>
      </c>
      <c r="O13" s="17" t="s">
        <v>8</v>
      </c>
      <c r="P13" s="17" t="s">
        <v>7</v>
      </c>
      <c r="R13" s="98" t="s">
        <v>0</v>
      </c>
      <c r="S13" s="38" t="s">
        <v>19</v>
      </c>
      <c r="U13" s="181" t="s">
        <v>57</v>
      </c>
      <c r="V13" s="181"/>
      <c r="W13" s="181"/>
      <c r="X13" s="181"/>
    </row>
    <row r="14" spans="2:25" x14ac:dyDescent="0.3">
      <c r="B14" s="223" t="s">
        <v>20</v>
      </c>
      <c r="C14" s="41" t="s">
        <v>43</v>
      </c>
      <c r="D14" s="119" t="s">
        <v>83</v>
      </c>
      <c r="E14" s="24">
        <v>0</v>
      </c>
      <c r="F14" s="34">
        <v>0</v>
      </c>
      <c r="G14" s="102">
        <v>2.6</v>
      </c>
      <c r="H14" s="28">
        <v>0</v>
      </c>
      <c r="I14" s="28">
        <v>0</v>
      </c>
      <c r="J14" s="114">
        <v>2.54</v>
      </c>
      <c r="K14" s="24">
        <f t="shared" ref="K14:K22" si="0">+H14-E14</f>
        <v>0</v>
      </c>
      <c r="L14" s="9">
        <f t="shared" ref="L14:L22" si="1">+I14-F14</f>
        <v>0</v>
      </c>
      <c r="M14" s="101">
        <f t="shared" ref="M14:M26" si="2">+J14-G14</f>
        <v>-6.0000000000000053E-2</v>
      </c>
      <c r="N14" s="105">
        <f>IF(E14=0,0,+K14/E14)</f>
        <v>0</v>
      </c>
      <c r="O14" s="15">
        <f>IF(F14=0,0,+L14/F14)</f>
        <v>0</v>
      </c>
      <c r="P14" s="15">
        <f>IF(G14=0,0,+M14/G14)</f>
        <v>-2.3076923076923096E-2</v>
      </c>
      <c r="R14" s="45" t="str">
        <f t="shared" ref="R14:R26" si="3">D14</f>
        <v>Flat Tariff 1</v>
      </c>
      <c r="S14" s="99">
        <v>0</v>
      </c>
      <c r="T14" s="7" t="s">
        <v>18</v>
      </c>
    </row>
    <row r="15" spans="2:25" x14ac:dyDescent="0.3">
      <c r="B15" s="224"/>
      <c r="C15" s="43" t="s">
        <v>44</v>
      </c>
      <c r="D15" s="119" t="s">
        <v>84</v>
      </c>
      <c r="E15" s="51">
        <v>0</v>
      </c>
      <c r="F15" s="9">
        <v>0</v>
      </c>
      <c r="G15" s="103">
        <v>2.75</v>
      </c>
      <c r="H15" s="28">
        <v>0</v>
      </c>
      <c r="I15" s="28">
        <v>0</v>
      </c>
      <c r="J15" s="118">
        <v>2.8</v>
      </c>
      <c r="K15" s="24">
        <f t="shared" si="0"/>
        <v>0</v>
      </c>
      <c r="L15" s="13">
        <f t="shared" si="1"/>
        <v>0</v>
      </c>
      <c r="M15" s="101">
        <f t="shared" si="2"/>
        <v>4.9999999999999822E-2</v>
      </c>
      <c r="N15" s="105">
        <f t="shared" ref="N15:N25" si="4">IF(E15=0,0,+K15/E15)</f>
        <v>0</v>
      </c>
      <c r="O15" s="15">
        <f t="shared" ref="O15:P22" si="5">IF(F15=0,0,+L15/F15)</f>
        <v>0</v>
      </c>
      <c r="P15" s="18">
        <f t="shared" si="5"/>
        <v>1.8181818181818118E-2</v>
      </c>
      <c r="R15" s="50" t="str">
        <f t="shared" si="3"/>
        <v>Flat Tariff 2</v>
      </c>
      <c r="S15" s="97">
        <v>0</v>
      </c>
      <c r="T15" s="49" t="s">
        <v>18</v>
      </c>
      <c r="U15" s="170" t="s">
        <v>59</v>
      </c>
      <c r="V15" s="171"/>
      <c r="W15" s="206" t="s">
        <v>26</v>
      </c>
      <c r="X15" s="206"/>
      <c r="Y15" t="s">
        <v>58</v>
      </c>
    </row>
    <row r="16" spans="2:25" x14ac:dyDescent="0.3">
      <c r="B16" s="224"/>
      <c r="C16" s="43" t="s">
        <v>45</v>
      </c>
      <c r="D16" s="119" t="s">
        <v>85</v>
      </c>
      <c r="E16" s="111">
        <v>0</v>
      </c>
      <c r="F16" s="9">
        <v>0</v>
      </c>
      <c r="G16" s="110">
        <v>3.9</v>
      </c>
      <c r="H16" s="29">
        <v>65</v>
      </c>
      <c r="I16" s="29">
        <v>0</v>
      </c>
      <c r="J16" s="118">
        <v>3.85</v>
      </c>
      <c r="K16" s="24">
        <f t="shared" si="0"/>
        <v>65</v>
      </c>
      <c r="L16" s="9">
        <f t="shared" si="1"/>
        <v>0</v>
      </c>
      <c r="M16" s="102">
        <f t="shared" si="2"/>
        <v>-4.9999999999999822E-2</v>
      </c>
      <c r="N16" s="106">
        <f t="shared" si="4"/>
        <v>0</v>
      </c>
      <c r="O16" s="18">
        <f t="shared" si="5"/>
        <v>0</v>
      </c>
      <c r="P16" s="18">
        <f t="shared" si="5"/>
        <v>-1.2820512820512775E-2</v>
      </c>
      <c r="R16" s="50" t="str">
        <f t="shared" si="3"/>
        <v>Flat Tariff 3</v>
      </c>
      <c r="S16" s="97">
        <v>0</v>
      </c>
      <c r="T16" s="49" t="s">
        <v>18</v>
      </c>
      <c r="U16" s="170" t="s">
        <v>16</v>
      </c>
      <c r="V16" s="171"/>
      <c r="W16" s="207">
        <v>400</v>
      </c>
      <c r="X16" s="207"/>
    </row>
    <row r="17" spans="2:28" x14ac:dyDescent="0.3">
      <c r="B17" s="224"/>
      <c r="C17" s="41" t="s">
        <v>48</v>
      </c>
      <c r="D17" s="119" t="s">
        <v>86</v>
      </c>
      <c r="E17" s="24">
        <v>0</v>
      </c>
      <c r="F17" s="14">
        <v>0</v>
      </c>
      <c r="G17" s="102">
        <v>4.04</v>
      </c>
      <c r="H17" s="28">
        <v>65</v>
      </c>
      <c r="I17" s="28">
        <v>0</v>
      </c>
      <c r="J17" s="113">
        <v>4</v>
      </c>
      <c r="K17" s="25">
        <f t="shared" si="0"/>
        <v>65</v>
      </c>
      <c r="L17" s="14">
        <f t="shared" si="1"/>
        <v>0</v>
      </c>
      <c r="M17" s="103">
        <f t="shared" si="2"/>
        <v>-4.0000000000000036E-2</v>
      </c>
      <c r="N17" s="22">
        <f t="shared" si="4"/>
        <v>0</v>
      </c>
      <c r="O17" s="19">
        <f t="shared" si="5"/>
        <v>0</v>
      </c>
      <c r="P17" s="19">
        <f t="shared" si="5"/>
        <v>-9.9009900990099098E-3</v>
      </c>
      <c r="R17" s="50" t="str">
        <f t="shared" si="3"/>
        <v>Flat Tariff 4</v>
      </c>
      <c r="S17" s="97">
        <v>0</v>
      </c>
      <c r="T17" s="49" t="s">
        <v>18</v>
      </c>
      <c r="U17" s="170" t="s">
        <v>23</v>
      </c>
      <c r="V17" s="171"/>
      <c r="W17" s="208" t="str">
        <f>IFERROR(INDEX($S$14:$S$26,MATCH($W$15,$R$14:$R$26,0)),"Select Customer Category")</f>
        <v>Select Customer Category</v>
      </c>
      <c r="X17" s="208"/>
    </row>
    <row r="18" spans="2:28" ht="14.4" customHeight="1" x14ac:dyDescent="0.3">
      <c r="B18" s="223" t="s">
        <v>21</v>
      </c>
      <c r="C18" s="42" t="s">
        <v>46</v>
      </c>
      <c r="D18" s="119" t="s">
        <v>87</v>
      </c>
      <c r="E18" s="24">
        <v>0</v>
      </c>
      <c r="F18" s="9">
        <v>0</v>
      </c>
      <c r="G18" s="102">
        <v>4.8</v>
      </c>
      <c r="H18" s="28">
        <v>0</v>
      </c>
      <c r="I18" s="30">
        <v>0</v>
      </c>
      <c r="J18" s="113">
        <v>4.9795723783442218</v>
      </c>
      <c r="K18" s="24">
        <f t="shared" si="0"/>
        <v>0</v>
      </c>
      <c r="L18" s="23">
        <f t="shared" si="1"/>
        <v>0</v>
      </c>
      <c r="M18" s="103">
        <f t="shared" si="2"/>
        <v>0.17957237834422202</v>
      </c>
      <c r="N18" s="22">
        <f t="shared" si="4"/>
        <v>0</v>
      </c>
      <c r="O18" s="15">
        <f t="shared" si="5"/>
        <v>0</v>
      </c>
      <c r="P18" s="18">
        <f t="shared" si="5"/>
        <v>3.7410912155046258E-2</v>
      </c>
      <c r="R18" s="45" t="str">
        <f t="shared" si="3"/>
        <v>Flat Tariff 5</v>
      </c>
      <c r="S18" s="99">
        <v>500</v>
      </c>
      <c r="T18" s="7" t="s">
        <v>18</v>
      </c>
    </row>
    <row r="19" spans="2:28" x14ac:dyDescent="0.3">
      <c r="B19" s="224"/>
      <c r="C19" s="41" t="s">
        <v>47</v>
      </c>
      <c r="D19" s="119" t="s">
        <v>88</v>
      </c>
      <c r="E19" s="36">
        <v>1167</v>
      </c>
      <c r="F19" s="9">
        <v>0</v>
      </c>
      <c r="G19" s="102">
        <v>3.61</v>
      </c>
      <c r="H19" s="31">
        <v>1136.6957947461997</v>
      </c>
      <c r="I19" s="31">
        <v>0</v>
      </c>
      <c r="J19" s="113">
        <v>3.914875993653133</v>
      </c>
      <c r="K19" s="24">
        <f t="shared" si="0"/>
        <v>-30.304205253800319</v>
      </c>
      <c r="L19" s="9">
        <f>+I19-F19</f>
        <v>0</v>
      </c>
      <c r="M19" s="103">
        <f t="shared" si="2"/>
        <v>0.30487599365313311</v>
      </c>
      <c r="N19" s="106">
        <f t="shared" si="4"/>
        <v>-2.5967613756469853E-2</v>
      </c>
      <c r="O19" s="18">
        <f t="shared" si="5"/>
        <v>0</v>
      </c>
      <c r="P19" s="16">
        <f t="shared" si="5"/>
        <v>8.4453183837432999E-2</v>
      </c>
      <c r="R19" s="50" t="str">
        <f t="shared" si="3"/>
        <v>Flat Tariff 6</v>
      </c>
      <c r="S19" s="97">
        <v>500</v>
      </c>
      <c r="T19" s="49" t="s">
        <v>18</v>
      </c>
      <c r="U19" s="170" t="str">
        <f>F6&amp;" "&amp;"Monthly bill"</f>
        <v>Year 2 Monthly bill</v>
      </c>
      <c r="V19" s="171"/>
      <c r="W19" s="177" t="str">
        <f>IFERROR(
  INDEX($H$14:$H$26,MATCH($W$15,$D$14:$D$26,0))
  + $W$17*INDEX($I$14:$I$26,MATCH($W$15,$D$14:$D$26,0))
  + $W$16*INDEX($J$14:$J$26,MATCH($W$15,$D$14:$D$26,0)),"Select Tariff")</f>
        <v>Select Tariff</v>
      </c>
      <c r="X19" s="177"/>
    </row>
    <row r="20" spans="2:28" x14ac:dyDescent="0.3">
      <c r="B20" s="225"/>
      <c r="C20" s="44" t="s">
        <v>49</v>
      </c>
      <c r="D20" s="119" t="s">
        <v>89</v>
      </c>
      <c r="E20" s="36">
        <v>1200</v>
      </c>
      <c r="F20" s="9">
        <v>0</v>
      </c>
      <c r="G20" s="102">
        <v>2.6</v>
      </c>
      <c r="H20" s="31">
        <v>1300</v>
      </c>
      <c r="I20" s="31">
        <v>0</v>
      </c>
      <c r="J20" s="113">
        <v>2.72</v>
      </c>
      <c r="K20" s="24">
        <f t="shared" ref="K20" si="6">+H20-E20</f>
        <v>100</v>
      </c>
      <c r="L20" s="9">
        <f>+I20-F20</f>
        <v>0</v>
      </c>
      <c r="M20" s="103">
        <f t="shared" si="2"/>
        <v>0.12000000000000011</v>
      </c>
      <c r="N20" s="22">
        <f t="shared" si="4"/>
        <v>8.3333333333333329E-2</v>
      </c>
      <c r="O20" s="16">
        <f t="shared" si="5"/>
        <v>0</v>
      </c>
      <c r="P20" s="20">
        <f t="shared" si="5"/>
        <v>4.6153846153846191E-2</v>
      </c>
      <c r="R20" s="45" t="str">
        <f t="shared" si="3"/>
        <v>Flat Tariff 7</v>
      </c>
      <c r="S20" s="99">
        <v>500</v>
      </c>
      <c r="T20" s="7" t="s">
        <v>18</v>
      </c>
      <c r="U20" s="170" t="str">
        <f>F4&amp;" "&amp;"Monthly bill"</f>
        <v>Year 1 Monthly bill</v>
      </c>
      <c r="V20" s="171"/>
      <c r="W20" s="178" t="str">
        <f>IFERROR(
  INDEX($E$14:$E$26,MATCH($W$15,$D$14:$D$26,0))
  + $W$17*INDEX($F$14:$F$26,MATCH($W$15,$D$14:$D$26,0))
  + $W$16*INDEX($G$14:$G$26,MATCH($W$15,$D$14:$D$26,0)),"Select Tariff")</f>
        <v>Select Tariff</v>
      </c>
      <c r="X20" s="178"/>
    </row>
    <row r="21" spans="2:28" ht="14.4" customHeight="1" x14ac:dyDescent="0.3">
      <c r="B21" s="230" t="s">
        <v>22</v>
      </c>
      <c r="C21" s="54" t="s">
        <v>50</v>
      </c>
      <c r="D21" s="119" t="s">
        <v>90</v>
      </c>
      <c r="E21" s="24">
        <v>2784</v>
      </c>
      <c r="F21" s="9">
        <v>164</v>
      </c>
      <c r="G21" s="102">
        <v>1.61</v>
      </c>
      <c r="H21" s="28">
        <v>2820</v>
      </c>
      <c r="I21" s="28">
        <v>180</v>
      </c>
      <c r="J21" s="114">
        <v>1.7791798257875542</v>
      </c>
      <c r="K21" s="24">
        <f t="shared" si="0"/>
        <v>36</v>
      </c>
      <c r="L21" s="9">
        <f t="shared" si="1"/>
        <v>16</v>
      </c>
      <c r="M21" s="102">
        <f t="shared" si="2"/>
        <v>0.16917982578755408</v>
      </c>
      <c r="N21" s="106">
        <f t="shared" si="4"/>
        <v>1.2931034482758621E-2</v>
      </c>
      <c r="O21" s="18">
        <f t="shared" si="5"/>
        <v>9.7560975609756101E-2</v>
      </c>
      <c r="P21" s="18">
        <f t="shared" si="5"/>
        <v>0.10508063713512675</v>
      </c>
      <c r="R21" s="50" t="str">
        <f t="shared" si="3"/>
        <v>Flat Tariff 8</v>
      </c>
      <c r="S21" s="97">
        <v>1000</v>
      </c>
      <c r="T21" s="49" t="s">
        <v>18</v>
      </c>
      <c r="U21" s="170" t="s">
        <v>29</v>
      </c>
      <c r="V21" s="171"/>
      <c r="W21" s="172" t="str">
        <f>IFERROR(W19-W20,"Enter data")</f>
        <v>Enter data</v>
      </c>
      <c r="X21" s="172"/>
    </row>
    <row r="22" spans="2:28" ht="17.399999999999999" x14ac:dyDescent="0.35">
      <c r="B22" s="231"/>
      <c r="C22" s="40" t="s">
        <v>51</v>
      </c>
      <c r="D22" s="119" t="s">
        <v>91</v>
      </c>
      <c r="E22" s="36">
        <v>2537.7800000000002</v>
      </c>
      <c r="F22" s="14">
        <v>178</v>
      </c>
      <c r="G22" s="103">
        <v>3.87</v>
      </c>
      <c r="H22" s="31">
        <v>2324.1509123283927</v>
      </c>
      <c r="I22" s="32">
        <v>150</v>
      </c>
      <c r="J22" s="114">
        <v>4.1111009004937618</v>
      </c>
      <c r="K22" s="24">
        <f t="shared" si="0"/>
        <v>-213.62908767160752</v>
      </c>
      <c r="L22" s="24">
        <f t="shared" si="1"/>
        <v>-28</v>
      </c>
      <c r="M22" s="102">
        <f t="shared" si="2"/>
        <v>0.24110090049376165</v>
      </c>
      <c r="N22" s="22">
        <f t="shared" si="4"/>
        <v>-8.4179514249307474E-2</v>
      </c>
      <c r="O22" s="21">
        <f t="shared" si="5"/>
        <v>-0.15730337078651685</v>
      </c>
      <c r="P22" s="18">
        <f t="shared" si="5"/>
        <v>6.2299974287793707E-2</v>
      </c>
      <c r="Q22" s="6"/>
      <c r="R22" s="45" t="str">
        <f t="shared" si="3"/>
        <v>Flat Tariff 9</v>
      </c>
      <c r="S22" s="99">
        <v>1200</v>
      </c>
      <c r="T22" s="7" t="s">
        <v>18</v>
      </c>
      <c r="U22" s="170" t="s">
        <v>17</v>
      </c>
      <c r="V22" s="171"/>
      <c r="W22" s="173" t="str">
        <f>IFERROR((W19/W20 - 1), "Enter tariff values")</f>
        <v>Enter tariff values</v>
      </c>
      <c r="X22" s="173"/>
    </row>
    <row r="23" spans="2:28" x14ac:dyDescent="0.3">
      <c r="B23" s="231"/>
      <c r="C23" s="44" t="s">
        <v>52</v>
      </c>
      <c r="D23" s="119" t="s">
        <v>92</v>
      </c>
      <c r="E23" s="24">
        <v>1200</v>
      </c>
      <c r="F23" s="9">
        <v>134</v>
      </c>
      <c r="G23" s="102">
        <v>2.2000000000000002</v>
      </c>
      <c r="H23" s="28">
        <v>1300</v>
      </c>
      <c r="I23" s="28">
        <v>130</v>
      </c>
      <c r="J23" s="114">
        <v>2.46</v>
      </c>
      <c r="K23" s="24">
        <f t="shared" ref="K23" si="7">+H23-E23</f>
        <v>100</v>
      </c>
      <c r="L23" s="24">
        <f t="shared" ref="L23" si="8">+I23-F23</f>
        <v>-4</v>
      </c>
      <c r="M23" s="102">
        <f t="shared" si="2"/>
        <v>0.25999999999999979</v>
      </c>
      <c r="N23" s="22">
        <f t="shared" si="4"/>
        <v>8.3333333333333329E-2</v>
      </c>
      <c r="O23" s="21">
        <f t="shared" ref="O23:P25" si="9">IF(F23=0,0,+L23/F23)</f>
        <v>-2.9850746268656716E-2</v>
      </c>
      <c r="P23" s="18">
        <f t="shared" si="9"/>
        <v>0.11818181818181807</v>
      </c>
      <c r="R23" s="50" t="str">
        <f t="shared" si="3"/>
        <v>Flat Tariff 10</v>
      </c>
      <c r="S23" s="97">
        <v>1500</v>
      </c>
      <c r="T23" s="49" t="s">
        <v>18</v>
      </c>
    </row>
    <row r="24" spans="2:28" x14ac:dyDescent="0.3">
      <c r="B24" s="231"/>
      <c r="C24" s="39" t="s">
        <v>80</v>
      </c>
      <c r="D24" s="119" t="s">
        <v>93</v>
      </c>
      <c r="E24" s="36">
        <v>2818.5</v>
      </c>
      <c r="F24" s="14">
        <v>185</v>
      </c>
      <c r="G24" s="103">
        <v>1.61</v>
      </c>
      <c r="H24" s="31">
        <v>2954</v>
      </c>
      <c r="I24" s="32">
        <v>197</v>
      </c>
      <c r="J24" s="114">
        <v>1.7791798257875542</v>
      </c>
      <c r="K24" s="24">
        <f t="shared" ref="K24" si="10">+H24-E24</f>
        <v>135.5</v>
      </c>
      <c r="L24" s="24">
        <f t="shared" ref="L24" si="11">+I24-F24</f>
        <v>12</v>
      </c>
      <c r="M24" s="102">
        <f t="shared" si="2"/>
        <v>0.16917982578755408</v>
      </c>
      <c r="N24" s="22">
        <f t="shared" si="4"/>
        <v>4.8075217314174204E-2</v>
      </c>
      <c r="O24" s="21">
        <f t="shared" si="9"/>
        <v>6.4864864864864868E-2</v>
      </c>
      <c r="P24" s="18">
        <f t="shared" si="9"/>
        <v>0.10508063713512675</v>
      </c>
      <c r="R24" s="45" t="str">
        <f t="shared" si="3"/>
        <v>Flat Tariff 11</v>
      </c>
      <c r="S24" s="99">
        <v>2000</v>
      </c>
      <c r="T24" s="7" t="s">
        <v>18</v>
      </c>
    </row>
    <row r="25" spans="2:28" x14ac:dyDescent="0.3">
      <c r="B25" s="231"/>
      <c r="C25" s="91" t="s">
        <v>81</v>
      </c>
      <c r="D25" s="119" t="s">
        <v>94</v>
      </c>
      <c r="E25" s="24">
        <v>2457</v>
      </c>
      <c r="F25" s="9">
        <v>169</v>
      </c>
      <c r="G25" s="102">
        <v>2.1</v>
      </c>
      <c r="H25" s="28">
        <v>2742</v>
      </c>
      <c r="I25" s="30">
        <v>150</v>
      </c>
      <c r="J25" s="113">
        <v>2.1159489576204153</v>
      </c>
      <c r="K25" s="24">
        <f t="shared" ref="K25" si="12">+H25-E25</f>
        <v>285</v>
      </c>
      <c r="L25" s="9">
        <f t="shared" ref="L25" si="13">+I25-F25</f>
        <v>-19</v>
      </c>
      <c r="M25" s="101">
        <f t="shared" si="2"/>
        <v>1.5948957620415261E-2</v>
      </c>
      <c r="N25" s="22">
        <f t="shared" si="4"/>
        <v>0.115995115995116</v>
      </c>
      <c r="O25" s="21">
        <f t="shared" si="9"/>
        <v>-0.11242603550295859</v>
      </c>
      <c r="P25" s="18">
        <f t="shared" si="9"/>
        <v>7.5947417240072668E-3</v>
      </c>
      <c r="R25" s="50" t="str">
        <f t="shared" si="3"/>
        <v>Flat Tariff 12</v>
      </c>
      <c r="S25" s="97">
        <v>2500</v>
      </c>
      <c r="T25" s="49" t="s">
        <v>18</v>
      </c>
    </row>
    <row r="26" spans="2:28" x14ac:dyDescent="0.3">
      <c r="B26" s="231"/>
      <c r="C26" s="91" t="s">
        <v>82</v>
      </c>
      <c r="D26" s="119" t="s">
        <v>95</v>
      </c>
      <c r="E26" s="25">
        <v>2673</v>
      </c>
      <c r="F26" s="9">
        <v>149</v>
      </c>
      <c r="G26" s="102">
        <v>2.5</v>
      </c>
      <c r="H26" s="28">
        <v>2680</v>
      </c>
      <c r="I26" s="30">
        <v>163</v>
      </c>
      <c r="J26" s="113">
        <v>2.7</v>
      </c>
      <c r="K26" s="25">
        <f t="shared" ref="K26" si="14">+H26-E26</f>
        <v>7</v>
      </c>
      <c r="L26" s="9">
        <f t="shared" ref="L26" si="15">+I26-F26</f>
        <v>14</v>
      </c>
      <c r="M26" s="101">
        <f t="shared" si="2"/>
        <v>0.20000000000000018</v>
      </c>
      <c r="N26" s="22">
        <f t="shared" ref="N26" si="16">IF(E26=0,0,+K26/E26)</f>
        <v>2.6187803965581741E-3</v>
      </c>
      <c r="O26" s="21">
        <f t="shared" ref="O26" si="17">IF(F26=0,0,+L26/F26)</f>
        <v>9.3959731543624164E-2</v>
      </c>
      <c r="P26" s="18">
        <f t="shared" ref="P26" si="18">IF(G26=0,0,+M26/G26)</f>
        <v>8.0000000000000071E-2</v>
      </c>
      <c r="R26" s="50" t="str">
        <f t="shared" si="3"/>
        <v>Flat Tariff 13</v>
      </c>
      <c r="S26" s="97">
        <v>2800</v>
      </c>
      <c r="T26" s="49" t="s">
        <v>18</v>
      </c>
    </row>
    <row r="27" spans="2:28" ht="6" customHeight="1" x14ac:dyDescent="0.3">
      <c r="D27" s="117"/>
    </row>
    <row r="28" spans="2:28" ht="14.4" customHeight="1" x14ac:dyDescent="0.3"/>
    <row r="29" spans="2:28" x14ac:dyDescent="0.3">
      <c r="C29" s="184" t="s">
        <v>54</v>
      </c>
      <c r="D29" s="185"/>
    </row>
    <row r="30" spans="2:28" ht="13.2" customHeight="1" x14ac:dyDescent="0.3">
      <c r="C30" s="186"/>
      <c r="D30" s="187"/>
      <c r="Z30" s="197" t="s">
        <v>56</v>
      </c>
      <c r="AA30" s="197"/>
      <c r="AB30" s="197"/>
    </row>
    <row r="31" spans="2:28" ht="16.2" customHeight="1" x14ac:dyDescent="0.3">
      <c r="B31" s="7"/>
      <c r="C31" s="157" t="s">
        <v>14</v>
      </c>
      <c r="D31" s="194" t="s">
        <v>0</v>
      </c>
      <c r="E31" s="145" t="str">
        <f>F4 &amp;" Low Season Tariff TOU"</f>
        <v>Year 1 Low Season Tariff TOU</v>
      </c>
      <c r="F31" s="145"/>
      <c r="G31" s="145"/>
      <c r="H31" s="145"/>
      <c r="I31" s="169"/>
      <c r="J31" s="145" t="str">
        <f>F4 &amp;" High Season Tariff TOU"</f>
        <v>Year 1 High Season Tariff TOU</v>
      </c>
      <c r="K31" s="145"/>
      <c r="L31" s="145"/>
      <c r="M31" s="145"/>
      <c r="N31" s="169"/>
      <c r="O31" s="145" t="str">
        <f>F6 &amp;" Low Season Tariff TOU"</f>
        <v>Year 2 Low Season Tariff TOU</v>
      </c>
      <c r="P31" s="145"/>
      <c r="Q31" s="145"/>
      <c r="R31" s="145"/>
      <c r="S31" s="169"/>
      <c r="T31" s="180" t="str">
        <f>F6 &amp;" High Season Tariff TOU"</f>
        <v>Year 2 High Season Tariff TOU</v>
      </c>
      <c r="U31" s="145"/>
      <c r="V31" s="145"/>
      <c r="W31" s="145"/>
      <c r="X31" s="146"/>
      <c r="Z31" s="198"/>
      <c r="AA31" s="198"/>
      <c r="AB31" s="198"/>
    </row>
    <row r="32" spans="2:28" ht="41.4" customHeight="1" x14ac:dyDescent="0.3">
      <c r="B32" s="7"/>
      <c r="C32" s="158"/>
      <c r="D32" s="195"/>
      <c r="E32" s="93" t="s">
        <v>6</v>
      </c>
      <c r="F32" s="8" t="s">
        <v>33</v>
      </c>
      <c r="G32" s="17" t="s">
        <v>30</v>
      </c>
      <c r="H32" s="33" t="s">
        <v>31</v>
      </c>
      <c r="I32" s="100" t="s">
        <v>32</v>
      </c>
      <c r="J32" s="93" t="s">
        <v>35</v>
      </c>
      <c r="K32" s="8" t="s">
        <v>33</v>
      </c>
      <c r="L32" s="17" t="s">
        <v>30</v>
      </c>
      <c r="M32" s="17" t="s">
        <v>31</v>
      </c>
      <c r="N32" s="112" t="s">
        <v>32</v>
      </c>
      <c r="O32" s="93" t="s">
        <v>6</v>
      </c>
      <c r="P32" s="8" t="s">
        <v>33</v>
      </c>
      <c r="Q32" s="17" t="s">
        <v>30</v>
      </c>
      <c r="R32" s="33" t="s">
        <v>31</v>
      </c>
      <c r="S32" s="100" t="s">
        <v>32</v>
      </c>
      <c r="T32" s="93" t="s">
        <v>35</v>
      </c>
      <c r="U32" s="8" t="s">
        <v>33</v>
      </c>
      <c r="V32" s="17" t="s">
        <v>30</v>
      </c>
      <c r="W32" s="17" t="s">
        <v>31</v>
      </c>
      <c r="X32" s="8" t="s">
        <v>32</v>
      </c>
      <c r="Z32" s="98" t="s">
        <v>0</v>
      </c>
      <c r="AA32" s="38" t="s">
        <v>62</v>
      </c>
      <c r="AB32" s="38" t="s">
        <v>63</v>
      </c>
    </row>
    <row r="33" spans="1:33" x14ac:dyDescent="0.3">
      <c r="B33" s="223" t="s">
        <v>20</v>
      </c>
      <c r="C33" s="91" t="s">
        <v>43</v>
      </c>
      <c r="D33" s="120" t="s">
        <v>96</v>
      </c>
      <c r="E33" s="24">
        <v>3</v>
      </c>
      <c r="F33" s="34">
        <v>0</v>
      </c>
      <c r="G33" s="9">
        <v>2.6</v>
      </c>
      <c r="H33" s="9">
        <v>1</v>
      </c>
      <c r="I33" s="102">
        <v>0.75</v>
      </c>
      <c r="J33" s="28">
        <v>0</v>
      </c>
      <c r="K33" s="94">
        <v>0</v>
      </c>
      <c r="L33" s="11">
        <v>5</v>
      </c>
      <c r="M33" s="11">
        <v>1.2</v>
      </c>
      <c r="N33" s="113">
        <v>1</v>
      </c>
      <c r="O33" s="24">
        <v>0</v>
      </c>
      <c r="P33" s="34">
        <v>0</v>
      </c>
      <c r="Q33" s="9">
        <v>2</v>
      </c>
      <c r="R33" s="9">
        <v>2</v>
      </c>
      <c r="S33" s="102">
        <v>0.87</v>
      </c>
      <c r="T33" s="28">
        <v>2</v>
      </c>
      <c r="U33" s="94">
        <v>0</v>
      </c>
      <c r="V33" s="11">
        <v>5.4</v>
      </c>
      <c r="W33" s="11">
        <v>1.4</v>
      </c>
      <c r="X33" s="11">
        <v>1.2</v>
      </c>
      <c r="Z33" s="45" t="str">
        <f>D33</f>
        <v>TOU Tariff 1</v>
      </c>
      <c r="AA33" s="99">
        <v>1</v>
      </c>
      <c r="AB33" s="99">
        <v>10</v>
      </c>
      <c r="AC33" s="7" t="s">
        <v>18</v>
      </c>
    </row>
    <row r="34" spans="1:33" x14ac:dyDescent="0.3">
      <c r="B34" s="224"/>
      <c r="C34" s="91" t="s">
        <v>44</v>
      </c>
      <c r="D34" s="120" t="s">
        <v>97</v>
      </c>
      <c r="E34" s="51">
        <v>2</v>
      </c>
      <c r="F34" s="9">
        <v>0</v>
      </c>
      <c r="G34" s="14">
        <v>2.75</v>
      </c>
      <c r="H34" s="14">
        <v>1</v>
      </c>
      <c r="I34" s="103">
        <v>0.75</v>
      </c>
      <c r="J34" s="30">
        <v>0</v>
      </c>
      <c r="K34" s="11">
        <v>0</v>
      </c>
      <c r="L34" s="26">
        <v>5</v>
      </c>
      <c r="M34" s="26">
        <v>1.2</v>
      </c>
      <c r="N34" s="114">
        <v>1</v>
      </c>
      <c r="O34" s="51">
        <v>0</v>
      </c>
      <c r="P34" s="9">
        <v>0</v>
      </c>
      <c r="Q34" s="14">
        <v>2</v>
      </c>
      <c r="R34" s="14">
        <v>2</v>
      </c>
      <c r="S34" s="103">
        <v>0.79</v>
      </c>
      <c r="T34" s="30">
        <v>2</v>
      </c>
      <c r="U34" s="11">
        <v>0</v>
      </c>
      <c r="V34" s="26">
        <v>5.2</v>
      </c>
      <c r="W34" s="26">
        <v>1.3</v>
      </c>
      <c r="X34" s="26">
        <v>1.2</v>
      </c>
      <c r="Z34" s="45" t="str">
        <f t="shared" ref="Z34:Z42" si="19">D34</f>
        <v>TOU Tariff 2</v>
      </c>
      <c r="AA34" s="97">
        <v>2</v>
      </c>
      <c r="AB34" s="97">
        <v>9</v>
      </c>
      <c r="AC34" s="49" t="s">
        <v>18</v>
      </c>
    </row>
    <row r="35" spans="1:33" x14ac:dyDescent="0.3">
      <c r="B35" s="224"/>
      <c r="C35" s="91" t="s">
        <v>45</v>
      </c>
      <c r="D35" s="120" t="s">
        <v>98</v>
      </c>
      <c r="E35" s="111">
        <v>0</v>
      </c>
      <c r="F35" s="9">
        <v>0</v>
      </c>
      <c r="G35" s="35">
        <v>3.9</v>
      </c>
      <c r="H35" s="35">
        <v>1</v>
      </c>
      <c r="I35" s="110">
        <v>0.75</v>
      </c>
      <c r="J35" s="109">
        <v>0</v>
      </c>
      <c r="K35" s="11">
        <v>0</v>
      </c>
      <c r="L35" s="29">
        <v>5</v>
      </c>
      <c r="M35" s="29">
        <v>1.2</v>
      </c>
      <c r="N35" s="115">
        <v>1</v>
      </c>
      <c r="O35" s="111">
        <v>0</v>
      </c>
      <c r="P35" s="9">
        <v>0</v>
      </c>
      <c r="Q35" s="35">
        <v>2</v>
      </c>
      <c r="R35" s="35">
        <v>2</v>
      </c>
      <c r="S35" s="116">
        <v>0.74</v>
      </c>
      <c r="T35" s="109">
        <v>2</v>
      </c>
      <c r="U35" s="11">
        <v>0</v>
      </c>
      <c r="V35" s="29">
        <v>5.9</v>
      </c>
      <c r="W35" s="29">
        <v>1.5</v>
      </c>
      <c r="X35" s="27">
        <v>1.2</v>
      </c>
      <c r="Z35" s="45" t="str">
        <f t="shared" si="19"/>
        <v>TOU Tariff 3</v>
      </c>
      <c r="AA35" s="97">
        <v>3</v>
      </c>
      <c r="AB35" s="97">
        <v>8</v>
      </c>
      <c r="AC35" s="49" t="s">
        <v>18</v>
      </c>
    </row>
    <row r="36" spans="1:33" x14ac:dyDescent="0.3">
      <c r="B36" s="225"/>
      <c r="C36" s="91" t="s">
        <v>48</v>
      </c>
      <c r="D36" s="120" t="s">
        <v>99</v>
      </c>
      <c r="E36" s="24">
        <v>0</v>
      </c>
      <c r="F36" s="14">
        <v>0</v>
      </c>
      <c r="G36" s="9">
        <v>4.04</v>
      </c>
      <c r="H36" s="9">
        <v>1</v>
      </c>
      <c r="I36" s="102">
        <v>0.75</v>
      </c>
      <c r="J36" s="28">
        <v>0</v>
      </c>
      <c r="K36" s="26">
        <v>0</v>
      </c>
      <c r="L36" s="11">
        <v>5</v>
      </c>
      <c r="M36" s="11">
        <v>1.2</v>
      </c>
      <c r="N36" s="113">
        <v>1</v>
      </c>
      <c r="O36" s="24">
        <v>0</v>
      </c>
      <c r="P36" s="14">
        <v>0</v>
      </c>
      <c r="Q36" s="9">
        <v>2</v>
      </c>
      <c r="R36" s="9">
        <v>2</v>
      </c>
      <c r="S36" s="102">
        <v>0.77</v>
      </c>
      <c r="T36" s="28">
        <v>2</v>
      </c>
      <c r="U36" s="26">
        <v>0</v>
      </c>
      <c r="V36" s="11">
        <v>5.3</v>
      </c>
      <c r="W36" s="11">
        <v>1.22</v>
      </c>
      <c r="X36" s="11">
        <v>1.3</v>
      </c>
      <c r="Z36" s="45" t="str">
        <f t="shared" si="19"/>
        <v>TOU Tariff 4</v>
      </c>
      <c r="AA36" s="97">
        <v>4</v>
      </c>
      <c r="AB36" s="97">
        <v>7</v>
      </c>
      <c r="AC36" s="49" t="s">
        <v>18</v>
      </c>
    </row>
    <row r="37" spans="1:33" x14ac:dyDescent="0.3">
      <c r="A37" s="7"/>
      <c r="B37" s="226" t="s">
        <v>21</v>
      </c>
      <c r="C37" s="91" t="s">
        <v>46</v>
      </c>
      <c r="D37" s="120" t="s">
        <v>100</v>
      </c>
      <c r="E37" s="24">
        <v>0</v>
      </c>
      <c r="F37" s="9">
        <v>0</v>
      </c>
      <c r="G37" s="24">
        <v>4.8</v>
      </c>
      <c r="H37" s="24">
        <v>1</v>
      </c>
      <c r="I37" s="102">
        <v>0.75</v>
      </c>
      <c r="J37" s="28">
        <v>0</v>
      </c>
      <c r="K37" s="11">
        <v>0</v>
      </c>
      <c r="L37" s="28">
        <v>5</v>
      </c>
      <c r="M37" s="28">
        <v>1.2</v>
      </c>
      <c r="N37" s="113">
        <v>1</v>
      </c>
      <c r="O37" s="24">
        <v>0</v>
      </c>
      <c r="P37" s="9">
        <v>0</v>
      </c>
      <c r="Q37" s="24">
        <v>2</v>
      </c>
      <c r="R37" s="24">
        <v>2</v>
      </c>
      <c r="S37" s="104">
        <v>0.73</v>
      </c>
      <c r="T37" s="28">
        <v>2</v>
      </c>
      <c r="U37" s="11">
        <v>0</v>
      </c>
      <c r="V37" s="28">
        <v>5.6</v>
      </c>
      <c r="W37" s="28">
        <v>1.44</v>
      </c>
      <c r="X37" s="11">
        <v>1.2</v>
      </c>
      <c r="Z37" s="45" t="str">
        <f t="shared" si="19"/>
        <v>TOU Tariff 5</v>
      </c>
      <c r="AA37" s="99">
        <v>5</v>
      </c>
      <c r="AB37" s="99">
        <v>6</v>
      </c>
      <c r="AC37" s="7" t="s">
        <v>18</v>
      </c>
    </row>
    <row r="38" spans="1:33" x14ac:dyDescent="0.3">
      <c r="A38" s="7"/>
      <c r="B38" s="226"/>
      <c r="C38" s="91" t="s">
        <v>47</v>
      </c>
      <c r="D38" s="120" t="s">
        <v>101</v>
      </c>
      <c r="E38" s="24">
        <v>1167</v>
      </c>
      <c r="F38" s="14">
        <v>164</v>
      </c>
      <c r="G38" s="9">
        <v>3.61</v>
      </c>
      <c r="H38" s="9">
        <v>1</v>
      </c>
      <c r="I38" s="102">
        <v>0.75</v>
      </c>
      <c r="J38" s="28">
        <v>1136.6957947461997</v>
      </c>
      <c r="K38" s="26">
        <v>178</v>
      </c>
      <c r="L38" s="11">
        <v>5</v>
      </c>
      <c r="M38" s="11">
        <v>1.2</v>
      </c>
      <c r="N38" s="113">
        <v>1</v>
      </c>
      <c r="O38" s="24">
        <v>1350</v>
      </c>
      <c r="P38" s="14">
        <v>150</v>
      </c>
      <c r="Q38" s="9">
        <v>2</v>
      </c>
      <c r="R38" s="9">
        <v>2</v>
      </c>
      <c r="S38" s="102">
        <v>0.76</v>
      </c>
      <c r="T38" s="28">
        <v>1350</v>
      </c>
      <c r="U38" s="26">
        <v>250</v>
      </c>
      <c r="V38" s="11">
        <v>5.8</v>
      </c>
      <c r="W38" s="11">
        <v>1.7</v>
      </c>
      <c r="X38" s="11">
        <v>1.2</v>
      </c>
      <c r="Z38" s="45" t="str">
        <f t="shared" si="19"/>
        <v>TOU Tariff 6</v>
      </c>
      <c r="AA38" s="97">
        <v>6</v>
      </c>
      <c r="AB38" s="97">
        <v>5</v>
      </c>
      <c r="AC38" s="49" t="s">
        <v>18</v>
      </c>
    </row>
    <row r="39" spans="1:33" x14ac:dyDescent="0.3">
      <c r="A39" s="7"/>
      <c r="B39" s="227" t="s">
        <v>22</v>
      </c>
      <c r="C39" s="92" t="s">
        <v>49</v>
      </c>
      <c r="D39" s="120" t="s">
        <v>102</v>
      </c>
      <c r="E39" s="24">
        <v>1200</v>
      </c>
      <c r="F39" s="9">
        <v>178</v>
      </c>
      <c r="G39" s="24">
        <v>2.6</v>
      </c>
      <c r="H39" s="24">
        <v>1</v>
      </c>
      <c r="I39" s="102">
        <v>0.75</v>
      </c>
      <c r="J39" s="28">
        <v>1300</v>
      </c>
      <c r="K39" s="11">
        <v>134</v>
      </c>
      <c r="L39" s="28">
        <v>5</v>
      </c>
      <c r="M39" s="28">
        <v>1.2</v>
      </c>
      <c r="N39" s="113">
        <v>1</v>
      </c>
      <c r="O39" s="24">
        <v>2100</v>
      </c>
      <c r="P39" s="9">
        <v>130</v>
      </c>
      <c r="Q39" s="24">
        <v>2</v>
      </c>
      <c r="R39" s="24">
        <v>2</v>
      </c>
      <c r="S39" s="104">
        <v>0.77</v>
      </c>
      <c r="T39" s="28">
        <v>2324.1509123283927</v>
      </c>
      <c r="U39" s="11">
        <v>250</v>
      </c>
      <c r="V39" s="28">
        <v>5.7</v>
      </c>
      <c r="W39" s="28">
        <v>1.35</v>
      </c>
      <c r="X39" s="11">
        <v>1.4</v>
      </c>
      <c r="Z39" s="45" t="str">
        <f t="shared" si="19"/>
        <v>TOU Tariff 7</v>
      </c>
      <c r="AA39" s="99">
        <v>7</v>
      </c>
      <c r="AB39" s="99">
        <v>4</v>
      </c>
      <c r="AC39" s="7" t="s">
        <v>18</v>
      </c>
    </row>
    <row r="40" spans="1:33" x14ac:dyDescent="0.3">
      <c r="A40" s="7"/>
      <c r="B40" s="228"/>
      <c r="C40" s="92" t="s">
        <v>50</v>
      </c>
      <c r="D40" s="120" t="s">
        <v>103</v>
      </c>
      <c r="E40" s="24">
        <v>2784</v>
      </c>
      <c r="F40" s="9">
        <v>134</v>
      </c>
      <c r="G40" s="24">
        <v>1.61</v>
      </c>
      <c r="H40" s="24">
        <v>1</v>
      </c>
      <c r="I40" s="102">
        <v>0.75</v>
      </c>
      <c r="J40" s="28">
        <v>2820</v>
      </c>
      <c r="K40" s="11">
        <v>185</v>
      </c>
      <c r="L40" s="28">
        <v>5</v>
      </c>
      <c r="M40" s="28">
        <v>1.2</v>
      </c>
      <c r="N40" s="113">
        <v>1</v>
      </c>
      <c r="O40" s="24">
        <v>2200</v>
      </c>
      <c r="P40" s="9">
        <v>197</v>
      </c>
      <c r="Q40" s="24">
        <v>2</v>
      </c>
      <c r="R40" s="24">
        <v>2</v>
      </c>
      <c r="S40" s="104">
        <v>0.8</v>
      </c>
      <c r="T40" s="28">
        <v>1300</v>
      </c>
      <c r="U40" s="11">
        <v>250</v>
      </c>
      <c r="V40" s="28">
        <v>5.0999999999999996</v>
      </c>
      <c r="W40" s="28">
        <v>1.6</v>
      </c>
      <c r="X40" s="11">
        <v>1.7</v>
      </c>
      <c r="Z40" s="45" t="str">
        <f t="shared" si="19"/>
        <v>TOU Tariff 8</v>
      </c>
      <c r="AA40" s="97">
        <v>8</v>
      </c>
      <c r="AB40" s="97">
        <v>3</v>
      </c>
      <c r="AC40" s="49" t="s">
        <v>18</v>
      </c>
    </row>
    <row r="41" spans="1:33" x14ac:dyDescent="0.3">
      <c r="A41" s="7"/>
      <c r="B41" s="228"/>
      <c r="C41" s="92" t="s">
        <v>51</v>
      </c>
      <c r="D41" s="120" t="s">
        <v>104</v>
      </c>
      <c r="E41" s="24">
        <v>2537.7800000000002</v>
      </c>
      <c r="F41" s="9">
        <v>185</v>
      </c>
      <c r="G41" s="24">
        <v>3.87</v>
      </c>
      <c r="H41" s="24">
        <v>1</v>
      </c>
      <c r="I41" s="102">
        <v>0.75</v>
      </c>
      <c r="J41" s="28">
        <v>2324.1509123283927</v>
      </c>
      <c r="K41" s="11">
        <v>169</v>
      </c>
      <c r="L41" s="28">
        <v>5</v>
      </c>
      <c r="M41" s="28">
        <v>1.2</v>
      </c>
      <c r="N41" s="113">
        <v>1</v>
      </c>
      <c r="O41" s="24">
        <v>2300</v>
      </c>
      <c r="P41" s="9">
        <v>150</v>
      </c>
      <c r="Q41" s="24">
        <v>2</v>
      </c>
      <c r="R41" s="24">
        <v>2</v>
      </c>
      <c r="S41" s="104">
        <v>0.82</v>
      </c>
      <c r="T41" s="28">
        <v>2954</v>
      </c>
      <c r="U41" s="11">
        <v>250</v>
      </c>
      <c r="V41" s="28">
        <v>5.4</v>
      </c>
      <c r="W41" s="28">
        <v>1.47</v>
      </c>
      <c r="X41" s="11">
        <v>1.4</v>
      </c>
      <c r="Z41" s="45" t="str">
        <f t="shared" si="19"/>
        <v>TOU Tariff 9</v>
      </c>
      <c r="AA41" s="99">
        <v>9</v>
      </c>
      <c r="AB41" s="99">
        <v>2</v>
      </c>
      <c r="AC41" s="7" t="s">
        <v>18</v>
      </c>
    </row>
    <row r="42" spans="1:33" x14ac:dyDescent="0.3">
      <c r="A42" s="7"/>
      <c r="B42" s="229"/>
      <c r="C42" s="92" t="s">
        <v>52</v>
      </c>
      <c r="D42" s="120" t="s">
        <v>105</v>
      </c>
      <c r="E42" s="24">
        <v>1200</v>
      </c>
      <c r="F42" s="9">
        <v>169</v>
      </c>
      <c r="G42" s="24">
        <v>2.2000000000000002</v>
      </c>
      <c r="H42" s="24">
        <v>1</v>
      </c>
      <c r="I42" s="102">
        <v>0.75</v>
      </c>
      <c r="J42" s="28">
        <v>1300</v>
      </c>
      <c r="K42" s="11">
        <v>149</v>
      </c>
      <c r="L42" s="28">
        <v>5</v>
      </c>
      <c r="M42" s="28">
        <v>1.2</v>
      </c>
      <c r="N42" s="113">
        <v>1</v>
      </c>
      <c r="O42" s="24">
        <v>1250</v>
      </c>
      <c r="P42" s="9">
        <v>163</v>
      </c>
      <c r="Q42" s="24">
        <v>2</v>
      </c>
      <c r="R42" s="24">
        <v>2</v>
      </c>
      <c r="S42" s="104">
        <v>0.81</v>
      </c>
      <c r="T42" s="28">
        <v>1400</v>
      </c>
      <c r="U42" s="11">
        <v>250</v>
      </c>
      <c r="V42" s="28">
        <v>5.5</v>
      </c>
      <c r="W42" s="28">
        <v>1.3</v>
      </c>
      <c r="X42" s="11">
        <v>1.1000000000000001</v>
      </c>
      <c r="Z42" s="45" t="str">
        <f t="shared" si="19"/>
        <v>TOU Tariff 10</v>
      </c>
      <c r="AA42" s="99">
        <v>10</v>
      </c>
      <c r="AB42" s="99">
        <v>10</v>
      </c>
      <c r="AC42" s="7" t="s">
        <v>18</v>
      </c>
    </row>
    <row r="43" spans="1:33" x14ac:dyDescent="0.3">
      <c r="B43" s="134"/>
      <c r="S43" s="117"/>
      <c r="AB43" s="49"/>
    </row>
    <row r="44" spans="1:33" ht="14.4" customHeight="1" x14ac:dyDescent="0.3">
      <c r="C44" s="188" t="s">
        <v>55</v>
      </c>
      <c r="D44" s="189"/>
      <c r="E44" s="190"/>
      <c r="AB44" s="7"/>
    </row>
    <row r="45" spans="1:33" ht="14.4" customHeight="1" x14ac:dyDescent="0.3">
      <c r="C45" s="191"/>
      <c r="D45" s="192"/>
      <c r="E45" s="193"/>
      <c r="AB45" s="49"/>
    </row>
    <row r="46" spans="1:33" ht="14.4" customHeight="1" x14ac:dyDescent="0.3">
      <c r="D46" s="121"/>
      <c r="E46" s="153" t="s">
        <v>40</v>
      </c>
      <c r="F46" s="153"/>
      <c r="G46" s="153"/>
      <c r="H46" s="153"/>
      <c r="I46" s="168"/>
      <c r="J46" s="153" t="s">
        <v>41</v>
      </c>
      <c r="K46" s="153"/>
      <c r="L46" s="153"/>
      <c r="M46" s="153"/>
      <c r="N46" s="168"/>
      <c r="O46" s="153" t="s">
        <v>40</v>
      </c>
      <c r="P46" s="153"/>
      <c r="Q46" s="153"/>
      <c r="R46" s="153"/>
      <c r="S46" s="168"/>
      <c r="T46" s="167" t="s">
        <v>40</v>
      </c>
      <c r="U46" s="153"/>
      <c r="V46" s="153"/>
      <c r="W46" s="153"/>
      <c r="X46" s="154"/>
      <c r="Z46" s="181" t="s">
        <v>61</v>
      </c>
      <c r="AA46" s="181"/>
      <c r="AB46" s="181"/>
      <c r="AC46" s="181"/>
    </row>
    <row r="47" spans="1:33" x14ac:dyDescent="0.3">
      <c r="C47" s="157" t="s">
        <v>14</v>
      </c>
      <c r="D47" s="196" t="s">
        <v>0</v>
      </c>
      <c r="E47" s="153" t="s">
        <v>42</v>
      </c>
      <c r="F47" s="153"/>
      <c r="G47" s="153"/>
      <c r="H47" s="153"/>
      <c r="I47" s="168"/>
      <c r="J47" s="153" t="s">
        <v>42</v>
      </c>
      <c r="K47" s="153"/>
      <c r="L47" s="153"/>
      <c r="M47" s="153"/>
      <c r="N47" s="168"/>
      <c r="O47" s="145" t="s">
        <v>11</v>
      </c>
      <c r="P47" s="145"/>
      <c r="Q47" s="145"/>
      <c r="R47" s="145"/>
      <c r="S47" s="169"/>
      <c r="T47" s="180" t="s">
        <v>11</v>
      </c>
      <c r="U47" s="145"/>
      <c r="V47" s="145"/>
      <c r="W47" s="145"/>
      <c r="X47" s="146"/>
    </row>
    <row r="48" spans="1:33" ht="15" thickBot="1" x14ac:dyDescent="0.35">
      <c r="C48" s="158"/>
      <c r="D48" s="160"/>
      <c r="E48" s="93" t="s">
        <v>5</v>
      </c>
      <c r="F48" s="17" t="s">
        <v>8</v>
      </c>
      <c r="G48" s="17" t="s">
        <v>37</v>
      </c>
      <c r="H48" s="17" t="s">
        <v>38</v>
      </c>
      <c r="I48" s="100" t="s">
        <v>39</v>
      </c>
      <c r="J48" s="93" t="s">
        <v>5</v>
      </c>
      <c r="K48" s="17" t="s">
        <v>8</v>
      </c>
      <c r="L48" s="17" t="s">
        <v>37</v>
      </c>
      <c r="M48" s="17" t="s">
        <v>38</v>
      </c>
      <c r="N48" s="100" t="s">
        <v>39</v>
      </c>
      <c r="O48" s="93" t="s">
        <v>5</v>
      </c>
      <c r="P48" s="17" t="s">
        <v>8</v>
      </c>
      <c r="Q48" s="17" t="s">
        <v>37</v>
      </c>
      <c r="R48" s="17" t="s">
        <v>38</v>
      </c>
      <c r="S48" s="100" t="s">
        <v>39</v>
      </c>
      <c r="T48" s="93" t="s">
        <v>5</v>
      </c>
      <c r="U48" s="17" t="s">
        <v>8</v>
      </c>
      <c r="V48" s="17" t="s">
        <v>37</v>
      </c>
      <c r="W48" s="17" t="s">
        <v>38</v>
      </c>
      <c r="X48" s="17" t="s">
        <v>39</v>
      </c>
      <c r="Z48" s="170" t="s">
        <v>59</v>
      </c>
      <c r="AA48" s="171"/>
      <c r="AB48" s="182" t="s">
        <v>105</v>
      </c>
      <c r="AC48" s="182"/>
      <c r="AD48" t="s">
        <v>58</v>
      </c>
      <c r="AF48" s="6"/>
      <c r="AG48" s="6"/>
    </row>
    <row r="49" spans="3:33" ht="15" thickTop="1" x14ac:dyDescent="0.3">
      <c r="C49" s="122" t="str">
        <f>C33</f>
        <v>A</v>
      </c>
      <c r="D49" s="123" t="str">
        <f>D33</f>
        <v>TOU Tariff 1</v>
      </c>
      <c r="E49" s="24">
        <f t="shared" ref="E49:E58" si="20">O33-E33</f>
        <v>-3</v>
      </c>
      <c r="F49" s="9">
        <f t="shared" ref="F49:F58" si="21">P33-F33</f>
        <v>0</v>
      </c>
      <c r="G49" s="10">
        <f t="shared" ref="G49:G58" si="22">Q33-G33</f>
        <v>-0.60000000000000009</v>
      </c>
      <c r="H49" s="9">
        <f t="shared" ref="H49:H58" si="23">R33-H33</f>
        <v>1</v>
      </c>
      <c r="I49" s="102">
        <f t="shared" ref="I49:I58" si="24">S33-I33</f>
        <v>0.12</v>
      </c>
      <c r="J49" s="24">
        <f t="shared" ref="J49:J58" si="25">T33-J33</f>
        <v>2</v>
      </c>
      <c r="K49" s="9">
        <f t="shared" ref="K49:K58" si="26">U33-K33</f>
        <v>0</v>
      </c>
      <c r="L49" s="9">
        <f t="shared" ref="L49:L58" si="27">V33-L33</f>
        <v>0.40000000000000036</v>
      </c>
      <c r="M49" s="9">
        <f t="shared" ref="M49:M58" si="28">W33-M33</f>
        <v>0.19999999999999996</v>
      </c>
      <c r="N49" s="102">
        <f t="shared" ref="N49:N58" si="29">X33-N33</f>
        <v>0.19999999999999996</v>
      </c>
      <c r="O49" s="105">
        <f t="shared" ref="O49:O58" si="30">IF(E33=0,0,+E49/E33)</f>
        <v>-1</v>
      </c>
      <c r="P49" s="105">
        <f t="shared" ref="P49:P58" si="31">IF(F33=0,0,+F49/F33)</f>
        <v>0</v>
      </c>
      <c r="Q49" s="105">
        <f t="shared" ref="Q49:Q58" si="32">IF(G33=0,0,+G49/G33)</f>
        <v>-0.23076923076923078</v>
      </c>
      <c r="R49" s="105">
        <f t="shared" ref="R49:R58" si="33">IF(H33=0,0,+H49/H33)</f>
        <v>1</v>
      </c>
      <c r="S49" s="107">
        <f t="shared" ref="S49:S58" si="34">IF(I33=0,0,+I49/I33)</f>
        <v>0.16</v>
      </c>
      <c r="T49" s="105">
        <f t="shared" ref="T49:T58" si="35">IF(J33=0,0,+J49/J33)</f>
        <v>0</v>
      </c>
      <c r="U49" s="105">
        <f t="shared" ref="U49:U58" si="36">IF(K33=0,0,+K49/K33)</f>
        <v>0</v>
      </c>
      <c r="V49" s="105">
        <f t="shared" ref="V49:V58" si="37">IF(L33=0,0,+L49/L33)</f>
        <v>8.0000000000000071E-2</v>
      </c>
      <c r="W49" s="105">
        <f t="shared" ref="W49:W58" si="38">IF(M33=0,0,+M49/M33)</f>
        <v>0.16666666666666663</v>
      </c>
      <c r="X49" s="105">
        <f t="shared" ref="X49:X58" si="39">IF(N33=0,0,+N49/N33)</f>
        <v>0.19999999999999996</v>
      </c>
      <c r="Z49" s="174" t="s">
        <v>77</v>
      </c>
      <c r="AA49" s="175"/>
      <c r="AB49" s="183">
        <v>400</v>
      </c>
      <c r="AC49" s="183"/>
      <c r="AD49" t="s">
        <v>69</v>
      </c>
      <c r="AE49" s="7"/>
      <c r="AF49" s="125" t="str">
        <f>F4</f>
        <v>Year 1</v>
      </c>
      <c r="AG49" s="125" t="str">
        <f>F6</f>
        <v>Year 2</v>
      </c>
    </row>
    <row r="50" spans="3:33" x14ac:dyDescent="0.3">
      <c r="C50" s="122" t="str">
        <f t="shared" ref="C50:C58" si="40">C34</f>
        <v>B</v>
      </c>
      <c r="D50" s="123" t="str">
        <f t="shared" ref="D50:D58" si="41">D34</f>
        <v>TOU Tariff 2</v>
      </c>
      <c r="E50" s="24">
        <f t="shared" si="20"/>
        <v>-2</v>
      </c>
      <c r="F50" s="9">
        <f t="shared" si="21"/>
        <v>0</v>
      </c>
      <c r="G50" s="10">
        <f t="shared" si="22"/>
        <v>-0.75</v>
      </c>
      <c r="H50" s="9">
        <f t="shared" si="23"/>
        <v>1</v>
      </c>
      <c r="I50" s="102">
        <f t="shared" si="24"/>
        <v>4.0000000000000036E-2</v>
      </c>
      <c r="J50" s="24">
        <f t="shared" si="25"/>
        <v>2</v>
      </c>
      <c r="K50" s="9">
        <f t="shared" si="26"/>
        <v>0</v>
      </c>
      <c r="L50" s="9">
        <f t="shared" si="27"/>
        <v>0.20000000000000018</v>
      </c>
      <c r="M50" s="9">
        <f t="shared" si="28"/>
        <v>0.10000000000000009</v>
      </c>
      <c r="N50" s="102">
        <f t="shared" si="29"/>
        <v>0.19999999999999996</v>
      </c>
      <c r="O50" s="105">
        <f t="shared" si="30"/>
        <v>-1</v>
      </c>
      <c r="P50" s="105">
        <f t="shared" si="31"/>
        <v>0</v>
      </c>
      <c r="Q50" s="105">
        <f t="shared" si="32"/>
        <v>-0.27272727272727271</v>
      </c>
      <c r="R50" s="105">
        <f t="shared" si="33"/>
        <v>1</v>
      </c>
      <c r="S50" s="107">
        <f t="shared" si="34"/>
        <v>5.3333333333333378E-2</v>
      </c>
      <c r="T50" s="105">
        <f t="shared" si="35"/>
        <v>0</v>
      </c>
      <c r="U50" s="105">
        <f t="shared" si="36"/>
        <v>0</v>
      </c>
      <c r="V50" s="105">
        <f t="shared" si="37"/>
        <v>4.0000000000000036E-2</v>
      </c>
      <c r="W50" s="105">
        <f t="shared" si="38"/>
        <v>8.3333333333333412E-2</v>
      </c>
      <c r="X50" s="105">
        <f t="shared" si="39"/>
        <v>0.19999999999999996</v>
      </c>
      <c r="Z50" s="161" t="s">
        <v>65</v>
      </c>
      <c r="AA50" s="162"/>
      <c r="AB50" s="163">
        <v>0.1</v>
      </c>
      <c r="AC50" s="163"/>
      <c r="AD50" t="s">
        <v>66</v>
      </c>
      <c r="AE50" s="131" t="s">
        <v>70</v>
      </c>
      <c r="AF50" s="127">
        <f>IFERROR($AB$50*$AB$49*INDEX(G33:G42,MATCH($AB$48,D33:D42,0)),"Enter data")</f>
        <v>88</v>
      </c>
      <c r="AG50" s="128">
        <f>IFERROR($AB$50*$AB$49*INDEX(Q33:Q42,MATCH($AB$48,D33:D42,0)),"Enter data")</f>
        <v>80</v>
      </c>
    </row>
    <row r="51" spans="3:33" x14ac:dyDescent="0.3">
      <c r="C51" s="122" t="str">
        <f t="shared" si="40"/>
        <v>C</v>
      </c>
      <c r="D51" s="123" t="str">
        <f t="shared" si="41"/>
        <v>TOU Tariff 3</v>
      </c>
      <c r="E51" s="24">
        <f t="shared" si="20"/>
        <v>0</v>
      </c>
      <c r="F51" s="9">
        <f t="shared" si="21"/>
        <v>0</v>
      </c>
      <c r="G51" s="10">
        <f t="shared" si="22"/>
        <v>-1.9</v>
      </c>
      <c r="H51" s="9">
        <f t="shared" si="23"/>
        <v>1</v>
      </c>
      <c r="I51" s="102">
        <f t="shared" si="24"/>
        <v>-1.0000000000000009E-2</v>
      </c>
      <c r="J51" s="24">
        <f t="shared" si="25"/>
        <v>2</v>
      </c>
      <c r="K51" s="9">
        <f t="shared" si="26"/>
        <v>0</v>
      </c>
      <c r="L51" s="9">
        <f t="shared" si="27"/>
        <v>0.90000000000000036</v>
      </c>
      <c r="M51" s="9">
        <f t="shared" si="28"/>
        <v>0.30000000000000004</v>
      </c>
      <c r="N51" s="102">
        <f t="shared" si="29"/>
        <v>0.19999999999999996</v>
      </c>
      <c r="O51" s="105">
        <f t="shared" si="30"/>
        <v>0</v>
      </c>
      <c r="P51" s="105">
        <f t="shared" si="31"/>
        <v>0</v>
      </c>
      <c r="Q51" s="105">
        <f t="shared" si="32"/>
        <v>-0.48717948717948717</v>
      </c>
      <c r="R51" s="105">
        <f t="shared" si="33"/>
        <v>1</v>
      </c>
      <c r="S51" s="107">
        <f t="shared" si="34"/>
        <v>-1.3333333333333345E-2</v>
      </c>
      <c r="T51" s="105">
        <f t="shared" si="35"/>
        <v>0</v>
      </c>
      <c r="U51" s="105">
        <f t="shared" si="36"/>
        <v>0</v>
      </c>
      <c r="V51" s="105">
        <f t="shared" si="37"/>
        <v>0.18000000000000008</v>
      </c>
      <c r="W51" s="105">
        <f t="shared" si="38"/>
        <v>0.25000000000000006</v>
      </c>
      <c r="X51" s="105">
        <f t="shared" si="39"/>
        <v>0.19999999999999996</v>
      </c>
      <c r="Z51" s="161" t="s">
        <v>67</v>
      </c>
      <c r="AA51" s="162"/>
      <c r="AB51" s="163">
        <v>0.05</v>
      </c>
      <c r="AC51" s="163"/>
      <c r="AD51" t="s">
        <v>66</v>
      </c>
      <c r="AE51" s="131" t="s">
        <v>71</v>
      </c>
      <c r="AF51" s="129">
        <f>IFERROR($AB$51*$AB$49*INDEX(H33:H42,MATCH($AB$48,D33:D42,0)),"Enter data")</f>
        <v>20</v>
      </c>
      <c r="AG51" s="130">
        <f>IFERROR($AB$51*$AB$49*INDEX(R33:R42,MATCH($AB$48,D33:D42,0)),"Enter data")</f>
        <v>40</v>
      </c>
    </row>
    <row r="52" spans="3:33" ht="15" thickBot="1" x14ac:dyDescent="0.35">
      <c r="C52" s="122" t="str">
        <f t="shared" si="40"/>
        <v>D</v>
      </c>
      <c r="D52" s="123" t="str">
        <f t="shared" si="41"/>
        <v>TOU Tariff 4</v>
      </c>
      <c r="E52" s="24">
        <f t="shared" si="20"/>
        <v>0</v>
      </c>
      <c r="F52" s="9">
        <f t="shared" si="21"/>
        <v>0</v>
      </c>
      <c r="G52" s="10">
        <f t="shared" si="22"/>
        <v>-2.04</v>
      </c>
      <c r="H52" s="9">
        <f t="shared" si="23"/>
        <v>1</v>
      </c>
      <c r="I52" s="102">
        <f t="shared" si="24"/>
        <v>2.0000000000000018E-2</v>
      </c>
      <c r="J52" s="24">
        <f t="shared" si="25"/>
        <v>2</v>
      </c>
      <c r="K52" s="9">
        <f t="shared" si="26"/>
        <v>0</v>
      </c>
      <c r="L52" s="9">
        <f t="shared" si="27"/>
        <v>0.29999999999999982</v>
      </c>
      <c r="M52" s="9">
        <f t="shared" si="28"/>
        <v>2.0000000000000018E-2</v>
      </c>
      <c r="N52" s="102">
        <f t="shared" si="29"/>
        <v>0.30000000000000004</v>
      </c>
      <c r="O52" s="105">
        <f t="shared" si="30"/>
        <v>0</v>
      </c>
      <c r="P52" s="105">
        <f t="shared" si="31"/>
        <v>0</v>
      </c>
      <c r="Q52" s="105">
        <f t="shared" si="32"/>
        <v>-0.50495049504950495</v>
      </c>
      <c r="R52" s="105">
        <f t="shared" si="33"/>
        <v>1</v>
      </c>
      <c r="S52" s="107">
        <f t="shared" si="34"/>
        <v>2.6666666666666689E-2</v>
      </c>
      <c r="T52" s="105">
        <f t="shared" si="35"/>
        <v>0</v>
      </c>
      <c r="U52" s="105">
        <f t="shared" si="36"/>
        <v>0</v>
      </c>
      <c r="V52" s="105">
        <f t="shared" si="37"/>
        <v>5.9999999999999963E-2</v>
      </c>
      <c r="W52" s="105">
        <f t="shared" si="38"/>
        <v>1.6666666666666684E-2</v>
      </c>
      <c r="X52" s="105">
        <f t="shared" si="39"/>
        <v>0.30000000000000004</v>
      </c>
      <c r="Z52" s="164" t="s">
        <v>68</v>
      </c>
      <c r="AA52" s="165"/>
      <c r="AB52" s="166">
        <f>100%-(AB50+AB51)</f>
        <v>0.85</v>
      </c>
      <c r="AC52" s="166"/>
      <c r="AD52" t="s">
        <v>66</v>
      </c>
      <c r="AE52" s="131" t="s">
        <v>72</v>
      </c>
      <c r="AF52" s="127">
        <f>IFERROR($AB$52*$AB$49*INDEX(I33:I42,MATCH($AB$48,D33:D42,0)),"Enter data")</f>
        <v>255</v>
      </c>
      <c r="AG52" s="128">
        <f>IFERROR($AB$52*$AB$49*INDEX(S33:S42,MATCH($AB$48,D33:D42,0)),"Enter data")</f>
        <v>275.40000000000003</v>
      </c>
    </row>
    <row r="53" spans="3:33" ht="15" thickTop="1" x14ac:dyDescent="0.3">
      <c r="C53" s="122" t="str">
        <f t="shared" si="40"/>
        <v>E</v>
      </c>
      <c r="D53" s="123" t="str">
        <f t="shared" si="41"/>
        <v>TOU Tariff 5</v>
      </c>
      <c r="E53" s="24">
        <f t="shared" si="20"/>
        <v>0</v>
      </c>
      <c r="F53" s="9">
        <f t="shared" si="21"/>
        <v>0</v>
      </c>
      <c r="G53" s="10">
        <f t="shared" si="22"/>
        <v>-2.8</v>
      </c>
      <c r="H53" s="9">
        <f t="shared" si="23"/>
        <v>1</v>
      </c>
      <c r="I53" s="102">
        <f t="shared" si="24"/>
        <v>-2.0000000000000018E-2</v>
      </c>
      <c r="J53" s="24">
        <f t="shared" si="25"/>
        <v>2</v>
      </c>
      <c r="K53" s="9">
        <f t="shared" si="26"/>
        <v>0</v>
      </c>
      <c r="L53" s="9">
        <f t="shared" si="27"/>
        <v>0.59999999999999964</v>
      </c>
      <c r="M53" s="9">
        <f t="shared" si="28"/>
        <v>0.24</v>
      </c>
      <c r="N53" s="102">
        <f t="shared" si="29"/>
        <v>0.19999999999999996</v>
      </c>
      <c r="O53" s="105">
        <f t="shared" si="30"/>
        <v>0</v>
      </c>
      <c r="P53" s="105">
        <f t="shared" si="31"/>
        <v>0</v>
      </c>
      <c r="Q53" s="105">
        <f t="shared" si="32"/>
        <v>-0.58333333333333337</v>
      </c>
      <c r="R53" s="105">
        <f t="shared" si="33"/>
        <v>1</v>
      </c>
      <c r="S53" s="107">
        <f t="shared" si="34"/>
        <v>-2.6666666666666689E-2</v>
      </c>
      <c r="T53" s="105">
        <f t="shared" si="35"/>
        <v>0</v>
      </c>
      <c r="U53" s="105">
        <f t="shared" si="36"/>
        <v>0</v>
      </c>
      <c r="V53" s="105">
        <f t="shared" si="37"/>
        <v>0.11999999999999993</v>
      </c>
      <c r="W53" s="105">
        <f t="shared" si="38"/>
        <v>0.2</v>
      </c>
      <c r="X53" s="105">
        <f t="shared" si="39"/>
        <v>0.19999999999999996</v>
      </c>
      <c r="Z53" s="174" t="s">
        <v>76</v>
      </c>
      <c r="AA53" s="175"/>
      <c r="AB53" s="176">
        <v>800</v>
      </c>
      <c r="AC53" s="176"/>
      <c r="AD53" t="s">
        <v>69</v>
      </c>
      <c r="AE53" s="131"/>
      <c r="AF53" s="126" t="str">
        <f>F4</f>
        <v>Year 1</v>
      </c>
      <c r="AG53" s="125" t="str">
        <f>F6</f>
        <v>Year 2</v>
      </c>
    </row>
    <row r="54" spans="3:33" x14ac:dyDescent="0.3">
      <c r="C54" s="122" t="str">
        <f t="shared" si="40"/>
        <v>F</v>
      </c>
      <c r="D54" s="123" t="str">
        <f t="shared" si="41"/>
        <v>TOU Tariff 6</v>
      </c>
      <c r="E54" s="24">
        <f t="shared" si="20"/>
        <v>183</v>
      </c>
      <c r="F54" s="9">
        <f t="shared" si="21"/>
        <v>-14</v>
      </c>
      <c r="G54" s="10">
        <f t="shared" si="22"/>
        <v>-1.6099999999999999</v>
      </c>
      <c r="H54" s="9">
        <f t="shared" si="23"/>
        <v>1</v>
      </c>
      <c r="I54" s="102">
        <f t="shared" si="24"/>
        <v>1.0000000000000009E-2</v>
      </c>
      <c r="J54" s="24">
        <f t="shared" si="25"/>
        <v>213.30420525380032</v>
      </c>
      <c r="K54" s="9">
        <f t="shared" si="26"/>
        <v>72</v>
      </c>
      <c r="L54" s="9">
        <f t="shared" si="27"/>
        <v>0.79999999999999982</v>
      </c>
      <c r="M54" s="9">
        <f t="shared" si="28"/>
        <v>0.5</v>
      </c>
      <c r="N54" s="102">
        <f t="shared" si="29"/>
        <v>0.19999999999999996</v>
      </c>
      <c r="O54" s="105">
        <f t="shared" si="30"/>
        <v>0.15681233933161953</v>
      </c>
      <c r="P54" s="105">
        <f t="shared" si="31"/>
        <v>-8.5365853658536592E-2</v>
      </c>
      <c r="Q54" s="105">
        <f t="shared" si="32"/>
        <v>-0.445983379501385</v>
      </c>
      <c r="R54" s="105">
        <f t="shared" si="33"/>
        <v>1</v>
      </c>
      <c r="S54" s="107">
        <f t="shared" si="34"/>
        <v>1.3333333333333345E-2</v>
      </c>
      <c r="T54" s="105">
        <f t="shared" si="35"/>
        <v>0.18765284981231647</v>
      </c>
      <c r="U54" s="105">
        <f t="shared" si="36"/>
        <v>0.4044943820224719</v>
      </c>
      <c r="V54" s="105">
        <f t="shared" si="37"/>
        <v>0.15999999999999998</v>
      </c>
      <c r="W54" s="105">
        <f t="shared" si="38"/>
        <v>0.41666666666666669</v>
      </c>
      <c r="X54" s="105">
        <f t="shared" si="39"/>
        <v>0.19999999999999996</v>
      </c>
      <c r="Z54" s="161" t="s">
        <v>65</v>
      </c>
      <c r="AA54" s="162"/>
      <c r="AB54" s="163">
        <v>0.05</v>
      </c>
      <c r="AC54" s="163"/>
      <c r="AD54" t="s">
        <v>66</v>
      </c>
      <c r="AE54" s="131" t="s">
        <v>73</v>
      </c>
      <c r="AF54" s="127">
        <f>IFERROR($AB$54*$AB$53*INDEX(L33:L42,MATCH($AB$48,D33:D42,0)),"Enter data")</f>
        <v>200</v>
      </c>
      <c r="AG54" s="128">
        <f>IFERROR($AB$54*$AB$53*INDEX(V33:V42,MATCH($AB$48,D33:D42,0)),"Enter data")</f>
        <v>220</v>
      </c>
    </row>
    <row r="55" spans="3:33" x14ac:dyDescent="0.3">
      <c r="C55" s="122" t="str">
        <f t="shared" si="40"/>
        <v>G</v>
      </c>
      <c r="D55" s="123" t="str">
        <f t="shared" si="41"/>
        <v>TOU Tariff 7</v>
      </c>
      <c r="E55" s="24">
        <f t="shared" si="20"/>
        <v>900</v>
      </c>
      <c r="F55" s="9">
        <f t="shared" si="21"/>
        <v>-48</v>
      </c>
      <c r="G55" s="10">
        <f t="shared" si="22"/>
        <v>-0.60000000000000009</v>
      </c>
      <c r="H55" s="9">
        <f t="shared" si="23"/>
        <v>1</v>
      </c>
      <c r="I55" s="102">
        <f t="shared" si="24"/>
        <v>2.0000000000000018E-2</v>
      </c>
      <c r="J55" s="24">
        <f t="shared" si="25"/>
        <v>1024.1509123283927</v>
      </c>
      <c r="K55" s="9">
        <f t="shared" si="26"/>
        <v>116</v>
      </c>
      <c r="L55" s="9">
        <f t="shared" si="27"/>
        <v>0.70000000000000018</v>
      </c>
      <c r="M55" s="9">
        <f t="shared" si="28"/>
        <v>0.15000000000000013</v>
      </c>
      <c r="N55" s="102">
        <f t="shared" si="29"/>
        <v>0.39999999999999991</v>
      </c>
      <c r="O55" s="105">
        <f t="shared" si="30"/>
        <v>0.75</v>
      </c>
      <c r="P55" s="105">
        <f t="shared" si="31"/>
        <v>-0.2696629213483146</v>
      </c>
      <c r="Q55" s="105">
        <f t="shared" si="32"/>
        <v>-0.23076923076923078</v>
      </c>
      <c r="R55" s="105">
        <f t="shared" si="33"/>
        <v>1</v>
      </c>
      <c r="S55" s="107">
        <f t="shared" si="34"/>
        <v>2.6666666666666689E-2</v>
      </c>
      <c r="T55" s="105">
        <f t="shared" si="35"/>
        <v>0.78780839409876358</v>
      </c>
      <c r="U55" s="105">
        <f t="shared" si="36"/>
        <v>0.86567164179104472</v>
      </c>
      <c r="V55" s="105">
        <f t="shared" si="37"/>
        <v>0.14000000000000004</v>
      </c>
      <c r="W55" s="105">
        <f t="shared" si="38"/>
        <v>0.12500000000000011</v>
      </c>
      <c r="X55" s="105">
        <f t="shared" si="39"/>
        <v>0.39999999999999991</v>
      </c>
      <c r="Z55" s="161" t="s">
        <v>67</v>
      </c>
      <c r="AA55" s="162"/>
      <c r="AB55" s="163">
        <v>0.1</v>
      </c>
      <c r="AC55" s="163"/>
      <c r="AD55" t="s">
        <v>66</v>
      </c>
      <c r="AE55" s="131" t="s">
        <v>74</v>
      </c>
      <c r="AF55" s="129">
        <f>IFERROR($AB$55*$AB$53*INDEX(M33:M42,MATCH($AB$48,D33:D42,0)),"Enter data")</f>
        <v>96</v>
      </c>
      <c r="AG55" s="130">
        <f>IFERROR($AB$55*$AB$53*INDEX(W33:W42,MATCH($AB$48,D33:D42,0)),"Enter data")</f>
        <v>104</v>
      </c>
    </row>
    <row r="56" spans="3:33" ht="15" thickBot="1" x14ac:dyDescent="0.35">
      <c r="C56" s="122" t="str">
        <f t="shared" si="40"/>
        <v>H</v>
      </c>
      <c r="D56" s="123" t="str">
        <f t="shared" si="41"/>
        <v>TOU Tariff 8</v>
      </c>
      <c r="E56" s="24">
        <f t="shared" si="20"/>
        <v>-584</v>
      </c>
      <c r="F56" s="9">
        <f t="shared" si="21"/>
        <v>63</v>
      </c>
      <c r="G56" s="10">
        <f t="shared" si="22"/>
        <v>0.3899999999999999</v>
      </c>
      <c r="H56" s="9">
        <f t="shared" si="23"/>
        <v>1</v>
      </c>
      <c r="I56" s="102">
        <f t="shared" si="24"/>
        <v>5.0000000000000044E-2</v>
      </c>
      <c r="J56" s="24">
        <f t="shared" si="25"/>
        <v>-1520</v>
      </c>
      <c r="K56" s="9">
        <f t="shared" si="26"/>
        <v>65</v>
      </c>
      <c r="L56" s="9">
        <f t="shared" si="27"/>
        <v>9.9999999999999645E-2</v>
      </c>
      <c r="M56" s="9">
        <f t="shared" si="28"/>
        <v>0.40000000000000013</v>
      </c>
      <c r="N56" s="102">
        <f t="shared" si="29"/>
        <v>0.7</v>
      </c>
      <c r="O56" s="105">
        <f t="shared" si="30"/>
        <v>-0.20977011494252873</v>
      </c>
      <c r="P56" s="105">
        <f t="shared" si="31"/>
        <v>0.47014925373134331</v>
      </c>
      <c r="Q56" s="105">
        <f t="shared" si="32"/>
        <v>0.24223602484472043</v>
      </c>
      <c r="R56" s="105">
        <f t="shared" si="33"/>
        <v>1</v>
      </c>
      <c r="S56" s="107">
        <f t="shared" si="34"/>
        <v>6.6666666666666721E-2</v>
      </c>
      <c r="T56" s="105">
        <f t="shared" si="35"/>
        <v>-0.53900709219858156</v>
      </c>
      <c r="U56" s="105">
        <f t="shared" si="36"/>
        <v>0.35135135135135137</v>
      </c>
      <c r="V56" s="105">
        <f t="shared" si="37"/>
        <v>1.9999999999999928E-2</v>
      </c>
      <c r="W56" s="105">
        <f t="shared" si="38"/>
        <v>0.33333333333333348</v>
      </c>
      <c r="X56" s="105">
        <f t="shared" si="39"/>
        <v>0.7</v>
      </c>
      <c r="Z56" s="164" t="s">
        <v>68</v>
      </c>
      <c r="AA56" s="165"/>
      <c r="AB56" s="166">
        <f>100%-(AB54+AB55)</f>
        <v>0.85</v>
      </c>
      <c r="AC56" s="166"/>
      <c r="AD56" t="s">
        <v>66</v>
      </c>
      <c r="AE56" s="131" t="s">
        <v>75</v>
      </c>
      <c r="AF56" s="129">
        <f>IFERROR($AB$56*$AB$53*INDEX(N33:N42,MATCH($AB$48,D33:D42,0)),"Enter data")</f>
        <v>680</v>
      </c>
      <c r="AG56" s="130">
        <f>IFERROR($AB$56*$AB$53*INDEX(X33:X42,MATCH($AB$48,D33:D42,0)),"Enter data")</f>
        <v>748.00000000000011</v>
      </c>
    </row>
    <row r="57" spans="3:33" ht="15" thickTop="1" x14ac:dyDescent="0.3">
      <c r="C57" s="122" t="str">
        <f t="shared" si="40"/>
        <v>I</v>
      </c>
      <c r="D57" s="123" t="str">
        <f t="shared" si="41"/>
        <v>TOU Tariff 9</v>
      </c>
      <c r="E57" s="24">
        <f t="shared" si="20"/>
        <v>-237.7800000000002</v>
      </c>
      <c r="F57" s="9">
        <f t="shared" si="21"/>
        <v>-35</v>
      </c>
      <c r="G57" s="10">
        <f t="shared" si="22"/>
        <v>-1.87</v>
      </c>
      <c r="H57" s="9">
        <f t="shared" si="23"/>
        <v>1</v>
      </c>
      <c r="I57" s="102">
        <f t="shared" si="24"/>
        <v>6.9999999999999951E-2</v>
      </c>
      <c r="J57" s="24">
        <f t="shared" si="25"/>
        <v>629.84908767160732</v>
      </c>
      <c r="K57" s="9">
        <f t="shared" si="26"/>
        <v>81</v>
      </c>
      <c r="L57" s="9">
        <f t="shared" si="27"/>
        <v>0.40000000000000036</v>
      </c>
      <c r="M57" s="9">
        <f t="shared" si="28"/>
        <v>0.27</v>
      </c>
      <c r="N57" s="102">
        <f t="shared" si="29"/>
        <v>0.39999999999999991</v>
      </c>
      <c r="O57" s="105">
        <f t="shared" si="30"/>
        <v>-9.3696065064741693E-2</v>
      </c>
      <c r="P57" s="105">
        <f t="shared" si="31"/>
        <v>-0.1891891891891892</v>
      </c>
      <c r="Q57" s="105">
        <f t="shared" si="32"/>
        <v>-0.48320413436692505</v>
      </c>
      <c r="R57" s="105">
        <f t="shared" si="33"/>
        <v>1</v>
      </c>
      <c r="S57" s="107">
        <f t="shared" si="34"/>
        <v>9.3333333333333268E-2</v>
      </c>
      <c r="T57" s="105">
        <f t="shared" si="35"/>
        <v>0.27100180299419918</v>
      </c>
      <c r="U57" s="105">
        <f t="shared" si="36"/>
        <v>0.47928994082840237</v>
      </c>
      <c r="V57" s="105">
        <f t="shared" si="37"/>
        <v>8.0000000000000071E-2</v>
      </c>
      <c r="W57" s="105">
        <f t="shared" si="38"/>
        <v>0.22500000000000003</v>
      </c>
      <c r="X57" s="105">
        <f t="shared" si="39"/>
        <v>0.39999999999999991</v>
      </c>
      <c r="Z57" s="170" t="str">
        <f>F4&amp;" "&amp;"Low Season Monthly bill"</f>
        <v>Year 1 Low Season Monthly bill</v>
      </c>
      <c r="AA57" s="171"/>
      <c r="AB57" s="179">
        <f>IFERROR(
  INDEX($E$33:$E$42,MATCH($AB$48,$D$33:$D$42,0))
  + ($AF$59 + $AF$50 + $AF$51 + $AF$52),
"Enter data above")</f>
        <v>3253</v>
      </c>
      <c r="AC57" s="179"/>
      <c r="AF57" s="7"/>
    </row>
    <row r="58" spans="3:33" x14ac:dyDescent="0.3">
      <c r="C58" s="122" t="str">
        <f t="shared" si="40"/>
        <v>J</v>
      </c>
      <c r="D58" s="123" t="str">
        <f t="shared" si="41"/>
        <v>TOU Tariff 10</v>
      </c>
      <c r="E58" s="24">
        <f t="shared" si="20"/>
        <v>50</v>
      </c>
      <c r="F58" s="9">
        <f t="shared" si="21"/>
        <v>-6</v>
      </c>
      <c r="G58" s="9">
        <f t="shared" si="22"/>
        <v>-0.20000000000000018</v>
      </c>
      <c r="H58" s="9">
        <f t="shared" si="23"/>
        <v>1</v>
      </c>
      <c r="I58" s="102">
        <f t="shared" si="24"/>
        <v>6.0000000000000053E-2</v>
      </c>
      <c r="J58" s="24">
        <f t="shared" si="25"/>
        <v>100</v>
      </c>
      <c r="K58" s="9">
        <f t="shared" si="26"/>
        <v>101</v>
      </c>
      <c r="L58" s="9">
        <f t="shared" si="27"/>
        <v>0.5</v>
      </c>
      <c r="M58" s="9">
        <f t="shared" si="28"/>
        <v>0.10000000000000009</v>
      </c>
      <c r="N58" s="102">
        <f t="shared" si="29"/>
        <v>0.10000000000000009</v>
      </c>
      <c r="O58" s="106">
        <f t="shared" si="30"/>
        <v>4.1666666666666664E-2</v>
      </c>
      <c r="P58" s="106">
        <f t="shared" si="31"/>
        <v>-3.5502958579881658E-2</v>
      </c>
      <c r="Q58" s="106">
        <f t="shared" si="32"/>
        <v>-9.0909090909090981E-2</v>
      </c>
      <c r="R58" s="106">
        <f t="shared" si="33"/>
        <v>1</v>
      </c>
      <c r="S58" s="108">
        <f t="shared" si="34"/>
        <v>8.0000000000000071E-2</v>
      </c>
      <c r="T58" s="106">
        <f t="shared" si="35"/>
        <v>7.6923076923076927E-2</v>
      </c>
      <c r="U58" s="106">
        <f t="shared" si="36"/>
        <v>0.67785234899328861</v>
      </c>
      <c r="V58" s="106">
        <f t="shared" si="37"/>
        <v>0.1</v>
      </c>
      <c r="W58" s="106">
        <f t="shared" si="38"/>
        <v>8.3333333333333412E-2</v>
      </c>
      <c r="X58" s="106">
        <f t="shared" si="39"/>
        <v>0.10000000000000009</v>
      </c>
      <c r="Z58" s="170" t="str">
        <f>F4&amp;" "&amp;"High Season Monthly bill"</f>
        <v>Year 1 High Season Monthly bill</v>
      </c>
      <c r="AA58" s="171"/>
      <c r="AB58" s="177">
        <f>IFERROR(
  INDEX($J$33:$J$42,MATCH($AB$48,$D$33:$D$42,0))
  + ($AF$60 + $AF$54 + $AF$55 + $AF$56),
"Enter data above")</f>
        <v>3766</v>
      </c>
      <c r="AC58" s="177"/>
      <c r="AE58" s="7"/>
      <c r="AF58" s="125" t="str">
        <f>F4</f>
        <v>Year 1</v>
      </c>
      <c r="AG58" s="125" t="str">
        <f>F6</f>
        <v>Year 2</v>
      </c>
    </row>
    <row r="59" spans="3:33" x14ac:dyDescent="0.3">
      <c r="D59" s="117"/>
      <c r="X59" s="7"/>
      <c r="Z59" s="170" t="str">
        <f>F6&amp;" "&amp;"Low Season Monthly bill"</f>
        <v>Year 2 Low Season Monthly bill</v>
      </c>
      <c r="AA59" s="171"/>
      <c r="AB59" s="178">
        <f>IFERROR(
  INDEX($O$33:$O$42,MATCH($AB$48,$D$33:$D$42,0))
  + ($AG$59 + $AG$50 + $AG$51 + $AG$52),
"Enter data above")</f>
        <v>3275.4</v>
      </c>
      <c r="AC59" s="178"/>
      <c r="AE59" s="131" t="s">
        <v>78</v>
      </c>
      <c r="AF59" s="127">
        <f>IFERROR(
  INDEX($AA$33:$AA$42,MATCH($AB$48,$Z$33:$Z$42,0))
  *
  INDEX($F$33:$F$42,MATCH($AB$48,$Z$33:$Z$42,0)),
"Select Customer Category")</f>
        <v>1690</v>
      </c>
      <c r="AG59" s="128">
        <f>IFERROR(
  INDEX($AA$33:$AA$42,MATCH($AB$48,$Z$33:$Z$42,0))
  *
  INDEX($P$33:$P$42,MATCH($AB$48,$Z$33:$Z$42,0)),
"Select Customer Category")</f>
        <v>1630</v>
      </c>
    </row>
    <row r="60" spans="3:33" x14ac:dyDescent="0.3">
      <c r="Z60" s="170" t="str">
        <f>F6&amp;" "&amp;"High Season Monthly bill"</f>
        <v>Year 2 High Season Monthly bill</v>
      </c>
      <c r="AA60" s="171"/>
      <c r="AB60" s="178">
        <f>IFERROR(
  INDEX($T$33:$T$42,MATCH($AB$48,$D$33:$D$42,0))
  + ($AG$60 + $AG$54 + $AG$55 + $AG$56),
"Enter data above")</f>
        <v>4972</v>
      </c>
      <c r="AC60" s="178"/>
      <c r="AE60" s="131" t="s">
        <v>79</v>
      </c>
      <c r="AF60" s="129">
        <f>IFERROR(
  INDEX($AB$33:$AB$42,MATCH($AB$48,$Z$33:$Z$42,0))
  *
  INDEX($K$33:$K$42,MATCH($AB$48,$Z$33:$Z$42,0)),
"Select Customer Category")</f>
        <v>1490</v>
      </c>
      <c r="AG60" s="130">
        <f>IFERROR(
  INDEX($AB$33:$AB$42,MATCH($AB$48,$Z$33:$Z$42,0))
  *
  INDEX($U$33:$U$42,MATCH($AB$48,$Z$33:$Z$42,0)),
"Select Customer Category")</f>
        <v>2500</v>
      </c>
    </row>
    <row r="61" spans="3:33" x14ac:dyDescent="0.3">
      <c r="J61" s="167" t="str">
        <f xml:space="preserve"> "TOU Overall comparison " &amp; F6 &amp; " vs " &amp; F4</f>
        <v>TOU Overall comparison Year 2 vs Year 1</v>
      </c>
      <c r="K61" s="153"/>
      <c r="L61" s="153"/>
      <c r="M61" s="153"/>
      <c r="N61" s="168"/>
      <c r="O61" s="153" t="str">
        <f xml:space="preserve"> "TOU Overall comparison " &amp; F6 &amp; " vs " &amp; F4</f>
        <v>TOU Overall comparison Year 2 vs Year 1</v>
      </c>
      <c r="P61" s="153"/>
      <c r="Q61" s="153"/>
      <c r="R61" s="153"/>
      <c r="S61" s="168"/>
      <c r="Z61" s="170" t="s">
        <v>29</v>
      </c>
      <c r="AA61" s="171"/>
      <c r="AB61" s="172">
        <f>SUM(AB59:AC60)-SUM(AB57:AC58)</f>
        <v>1228.3999999999996</v>
      </c>
      <c r="AC61" s="172"/>
      <c r="AE61" s="131"/>
    </row>
    <row r="62" spans="3:33" ht="17.399999999999999" x14ac:dyDescent="0.35">
      <c r="H62" s="157" t="s">
        <v>14</v>
      </c>
      <c r="I62" s="159" t="s">
        <v>0</v>
      </c>
      <c r="J62" s="153" t="s">
        <v>42</v>
      </c>
      <c r="K62" s="153"/>
      <c r="L62" s="153"/>
      <c r="M62" s="153"/>
      <c r="N62" s="168"/>
      <c r="O62" s="145" t="s">
        <v>11</v>
      </c>
      <c r="P62" s="145"/>
      <c r="Q62" s="145"/>
      <c r="R62" s="145"/>
      <c r="S62" s="169"/>
      <c r="Z62" s="170" t="s">
        <v>17</v>
      </c>
      <c r="AA62" s="171"/>
      <c r="AB62" s="173">
        <f>IFERROR((AB61/(SUM(AB57:AC58))), "Enter tariff values")</f>
        <v>0.17501068528280378</v>
      </c>
      <c r="AC62" s="173"/>
      <c r="AE62" s="131"/>
    </row>
    <row r="63" spans="3:33" x14ac:dyDescent="0.3">
      <c r="H63" s="158"/>
      <c r="I63" s="160"/>
      <c r="J63" s="93" t="s">
        <v>5</v>
      </c>
      <c r="K63" s="17" t="s">
        <v>8</v>
      </c>
      <c r="L63" s="17" t="s">
        <v>37</v>
      </c>
      <c r="M63" s="17" t="s">
        <v>38</v>
      </c>
      <c r="N63" s="100" t="s">
        <v>39</v>
      </c>
      <c r="O63" s="93" t="s">
        <v>5</v>
      </c>
      <c r="P63" s="17" t="s">
        <v>8</v>
      </c>
      <c r="Q63" s="17" t="s">
        <v>37</v>
      </c>
      <c r="R63" s="17" t="s">
        <v>38</v>
      </c>
      <c r="S63" s="100" t="s">
        <v>39</v>
      </c>
      <c r="AE63" s="131"/>
    </row>
    <row r="64" spans="3:33" x14ac:dyDescent="0.3">
      <c r="H64" s="122" t="str">
        <f>C33</f>
        <v>A</v>
      </c>
      <c r="I64" s="123" t="str">
        <f>D33</f>
        <v>TOU Tariff 1</v>
      </c>
      <c r="J64" s="24">
        <f>E49+J49</f>
        <v>-1</v>
      </c>
      <c r="K64" s="24">
        <f>F49+K49</f>
        <v>0</v>
      </c>
      <c r="L64" s="24">
        <f t="shared" ref="L64:N73" si="42">G49+L49</f>
        <v>-0.19999999999999973</v>
      </c>
      <c r="M64" s="24">
        <f t="shared" si="42"/>
        <v>1.2</v>
      </c>
      <c r="N64" s="104">
        <f t="shared" si="42"/>
        <v>0.31999999999999995</v>
      </c>
      <c r="O64" s="105">
        <f t="shared" ref="O64:O73" si="43">IF(E33+J33=0,0,J64/(E33+J33))</f>
        <v>-0.33333333333333331</v>
      </c>
      <c r="P64" s="105">
        <f t="shared" ref="P64:P73" si="44">IF(F33+K33=0,0,K64/(F33+K33))</f>
        <v>0</v>
      </c>
      <c r="Q64" s="105">
        <f t="shared" ref="Q64:Q73" si="45">IF(G33+L33=0,0,L64/(G33+L33))</f>
        <v>-2.6315789473684178E-2</v>
      </c>
      <c r="R64" s="105">
        <f t="shared" ref="R64:R73" si="46">IF(H33+M33=0,0,M64/(H33+M33))</f>
        <v>0.54545454545454541</v>
      </c>
      <c r="S64" s="108">
        <f t="shared" ref="S64:S73" si="47">IF(I33+N33=0,0,N64/(I33+N33))</f>
        <v>0.18285714285714283</v>
      </c>
      <c r="AE64" s="131"/>
    </row>
    <row r="65" spans="8:31" x14ac:dyDescent="0.3">
      <c r="H65" s="122" t="str">
        <f t="shared" ref="H65:H73" si="48">C34</f>
        <v>B</v>
      </c>
      <c r="I65" s="123" t="str">
        <f t="shared" ref="I65:I73" si="49">D34</f>
        <v>TOU Tariff 2</v>
      </c>
      <c r="J65" s="24">
        <f t="shared" ref="J65:J72" si="50">E50+J50</f>
        <v>0</v>
      </c>
      <c r="K65" s="24">
        <f t="shared" ref="K65:K73" si="51">F50+K50</f>
        <v>0</v>
      </c>
      <c r="L65" s="24">
        <f t="shared" si="42"/>
        <v>-0.54999999999999982</v>
      </c>
      <c r="M65" s="24">
        <f t="shared" si="42"/>
        <v>1.1000000000000001</v>
      </c>
      <c r="N65" s="104">
        <f t="shared" si="42"/>
        <v>0.24</v>
      </c>
      <c r="O65" s="105">
        <f t="shared" si="43"/>
        <v>0</v>
      </c>
      <c r="P65" s="105">
        <f t="shared" si="44"/>
        <v>0</v>
      </c>
      <c r="Q65" s="105">
        <f t="shared" si="45"/>
        <v>-7.0967741935483844E-2</v>
      </c>
      <c r="R65" s="105">
        <f t="shared" si="46"/>
        <v>0.5</v>
      </c>
      <c r="S65" s="108">
        <f t="shared" si="47"/>
        <v>0.13714285714285715</v>
      </c>
      <c r="AE65" s="131"/>
    </row>
    <row r="66" spans="8:31" x14ac:dyDescent="0.3">
      <c r="H66" s="122" t="str">
        <f t="shared" si="48"/>
        <v>C</v>
      </c>
      <c r="I66" s="123" t="str">
        <f t="shared" si="49"/>
        <v>TOU Tariff 3</v>
      </c>
      <c r="J66" s="24">
        <f t="shared" si="50"/>
        <v>2</v>
      </c>
      <c r="K66" s="24">
        <f t="shared" si="51"/>
        <v>0</v>
      </c>
      <c r="L66" s="24">
        <f t="shared" si="42"/>
        <v>-0.99999999999999956</v>
      </c>
      <c r="M66" s="24">
        <f t="shared" si="42"/>
        <v>1.3</v>
      </c>
      <c r="N66" s="104">
        <f t="shared" si="42"/>
        <v>0.18999999999999995</v>
      </c>
      <c r="O66" s="105">
        <f t="shared" si="43"/>
        <v>0</v>
      </c>
      <c r="P66" s="105">
        <f t="shared" si="44"/>
        <v>0</v>
      </c>
      <c r="Q66" s="105">
        <f t="shared" si="45"/>
        <v>-0.11235955056179769</v>
      </c>
      <c r="R66" s="105">
        <f t="shared" si="46"/>
        <v>0.59090909090909083</v>
      </c>
      <c r="S66" s="108">
        <f t="shared" si="47"/>
        <v>0.10857142857142854</v>
      </c>
    </row>
    <row r="67" spans="8:31" x14ac:dyDescent="0.3">
      <c r="H67" s="122" t="str">
        <f t="shared" si="48"/>
        <v>D</v>
      </c>
      <c r="I67" s="123" t="str">
        <f t="shared" si="49"/>
        <v>TOU Tariff 4</v>
      </c>
      <c r="J67" s="24">
        <f t="shared" si="50"/>
        <v>2</v>
      </c>
      <c r="K67" s="24">
        <f t="shared" si="51"/>
        <v>0</v>
      </c>
      <c r="L67" s="24">
        <f t="shared" si="42"/>
        <v>-1.7400000000000002</v>
      </c>
      <c r="M67" s="24">
        <f t="shared" si="42"/>
        <v>1.02</v>
      </c>
      <c r="N67" s="104">
        <f t="shared" si="42"/>
        <v>0.32000000000000006</v>
      </c>
      <c r="O67" s="105">
        <f t="shared" si="43"/>
        <v>0</v>
      </c>
      <c r="P67" s="105">
        <f t="shared" si="44"/>
        <v>0</v>
      </c>
      <c r="Q67" s="105">
        <f t="shared" si="45"/>
        <v>-0.19247787610619474</v>
      </c>
      <c r="R67" s="105">
        <f t="shared" si="46"/>
        <v>0.46363636363636362</v>
      </c>
      <c r="S67" s="107">
        <f t="shared" si="47"/>
        <v>0.18285714285714288</v>
      </c>
    </row>
    <row r="68" spans="8:31" x14ac:dyDescent="0.3">
      <c r="H68" s="122" t="str">
        <f t="shared" si="48"/>
        <v>E</v>
      </c>
      <c r="I68" s="123" t="str">
        <f t="shared" si="49"/>
        <v>TOU Tariff 5</v>
      </c>
      <c r="J68" s="24">
        <f t="shared" si="50"/>
        <v>2</v>
      </c>
      <c r="K68" s="24">
        <f t="shared" si="51"/>
        <v>0</v>
      </c>
      <c r="L68" s="24">
        <f t="shared" si="42"/>
        <v>-2.2000000000000002</v>
      </c>
      <c r="M68" s="24">
        <f t="shared" si="42"/>
        <v>1.24</v>
      </c>
      <c r="N68" s="104">
        <f t="shared" si="42"/>
        <v>0.17999999999999994</v>
      </c>
      <c r="O68" s="105">
        <f t="shared" si="43"/>
        <v>0</v>
      </c>
      <c r="P68" s="105">
        <f t="shared" si="44"/>
        <v>0</v>
      </c>
      <c r="Q68" s="105">
        <f t="shared" si="45"/>
        <v>-0.22448979591836735</v>
      </c>
      <c r="R68" s="105">
        <f t="shared" si="46"/>
        <v>0.5636363636363636</v>
      </c>
      <c r="S68" s="107">
        <f t="shared" si="47"/>
        <v>0.10285714285714283</v>
      </c>
    </row>
    <row r="69" spans="8:31" x14ac:dyDescent="0.3">
      <c r="H69" s="122" t="str">
        <f t="shared" si="48"/>
        <v>F</v>
      </c>
      <c r="I69" s="123" t="str">
        <f t="shared" si="49"/>
        <v>TOU Tariff 6</v>
      </c>
      <c r="J69" s="24">
        <f t="shared" si="50"/>
        <v>396.30420525380032</v>
      </c>
      <c r="K69" s="24">
        <f t="shared" si="51"/>
        <v>58</v>
      </c>
      <c r="L69" s="24">
        <f t="shared" si="42"/>
        <v>-0.81</v>
      </c>
      <c r="M69" s="24">
        <f t="shared" si="42"/>
        <v>1.5</v>
      </c>
      <c r="N69" s="104">
        <f t="shared" si="42"/>
        <v>0.20999999999999996</v>
      </c>
      <c r="O69" s="105">
        <f t="shared" si="43"/>
        <v>0.17202974722513723</v>
      </c>
      <c r="P69" s="105">
        <f t="shared" si="44"/>
        <v>0.16959064327485379</v>
      </c>
      <c r="Q69" s="105">
        <f t="shared" si="45"/>
        <v>-9.4076655052264826E-2</v>
      </c>
      <c r="R69" s="105">
        <f t="shared" si="46"/>
        <v>0.68181818181818177</v>
      </c>
      <c r="S69" s="107">
        <f t="shared" si="47"/>
        <v>0.11999999999999998</v>
      </c>
    </row>
    <row r="70" spans="8:31" x14ac:dyDescent="0.3">
      <c r="H70" s="122" t="str">
        <f t="shared" si="48"/>
        <v>G</v>
      </c>
      <c r="I70" s="123" t="str">
        <f t="shared" si="49"/>
        <v>TOU Tariff 7</v>
      </c>
      <c r="J70" s="24">
        <f t="shared" si="50"/>
        <v>1924.1509123283927</v>
      </c>
      <c r="K70" s="24">
        <f t="shared" si="51"/>
        <v>68</v>
      </c>
      <c r="L70" s="24">
        <f t="shared" si="42"/>
        <v>0.10000000000000009</v>
      </c>
      <c r="M70" s="24">
        <f t="shared" si="42"/>
        <v>1.1500000000000001</v>
      </c>
      <c r="N70" s="104">
        <f>I55+N55</f>
        <v>0.41999999999999993</v>
      </c>
      <c r="O70" s="105">
        <f t="shared" si="43"/>
        <v>0.76966036493135703</v>
      </c>
      <c r="P70" s="105">
        <f t="shared" si="44"/>
        <v>0.21794871794871795</v>
      </c>
      <c r="Q70" s="105">
        <f t="shared" si="45"/>
        <v>1.3157894736842118E-2</v>
      </c>
      <c r="R70" s="105">
        <f t="shared" si="46"/>
        <v>0.52272727272727271</v>
      </c>
      <c r="S70" s="107">
        <f t="shared" si="47"/>
        <v>0.23999999999999996</v>
      </c>
    </row>
    <row r="71" spans="8:31" x14ac:dyDescent="0.3">
      <c r="H71" s="122" t="str">
        <f t="shared" si="48"/>
        <v>H</v>
      </c>
      <c r="I71" s="123" t="str">
        <f t="shared" si="49"/>
        <v>TOU Tariff 8</v>
      </c>
      <c r="J71" s="24">
        <f t="shared" si="50"/>
        <v>-2104</v>
      </c>
      <c r="K71" s="24">
        <f t="shared" si="51"/>
        <v>128</v>
      </c>
      <c r="L71" s="24">
        <f t="shared" si="42"/>
        <v>0.48999999999999955</v>
      </c>
      <c r="M71" s="24">
        <f t="shared" si="42"/>
        <v>1.4000000000000001</v>
      </c>
      <c r="N71" s="104">
        <f t="shared" si="42"/>
        <v>0.75</v>
      </c>
      <c r="O71" s="105">
        <f t="shared" si="43"/>
        <v>-0.37544610992148464</v>
      </c>
      <c r="P71" s="105">
        <f t="shared" si="44"/>
        <v>0.40125391849529779</v>
      </c>
      <c r="Q71" s="105">
        <f t="shared" si="45"/>
        <v>7.4130105900151219E-2</v>
      </c>
      <c r="R71" s="105">
        <f t="shared" si="46"/>
        <v>0.63636363636363635</v>
      </c>
      <c r="S71" s="107">
        <f t="shared" si="47"/>
        <v>0.42857142857142855</v>
      </c>
    </row>
    <row r="72" spans="8:31" x14ac:dyDescent="0.3">
      <c r="H72" s="122" t="str">
        <f t="shared" si="48"/>
        <v>I</v>
      </c>
      <c r="I72" s="123" t="str">
        <f t="shared" si="49"/>
        <v>TOU Tariff 9</v>
      </c>
      <c r="J72" s="24">
        <f t="shared" si="50"/>
        <v>392.06908767160712</v>
      </c>
      <c r="K72" s="24">
        <f t="shared" si="51"/>
        <v>46</v>
      </c>
      <c r="L72" s="24">
        <f t="shared" si="42"/>
        <v>-1.4699999999999998</v>
      </c>
      <c r="M72" s="24">
        <f t="shared" si="42"/>
        <v>1.27</v>
      </c>
      <c r="N72" s="104">
        <f t="shared" si="42"/>
        <v>0.46999999999999986</v>
      </c>
      <c r="O72" s="105">
        <f t="shared" si="43"/>
        <v>8.0640612699254516E-2</v>
      </c>
      <c r="P72" s="105">
        <f t="shared" si="44"/>
        <v>0.12994350282485875</v>
      </c>
      <c r="Q72" s="105">
        <f t="shared" si="45"/>
        <v>-0.16572717023675304</v>
      </c>
      <c r="R72" s="105">
        <f t="shared" si="46"/>
        <v>0.57727272727272727</v>
      </c>
      <c r="S72" s="107">
        <f t="shared" si="47"/>
        <v>0.26857142857142852</v>
      </c>
    </row>
    <row r="73" spans="8:31" x14ac:dyDescent="0.3">
      <c r="H73" s="122" t="str">
        <f t="shared" si="48"/>
        <v>J</v>
      </c>
      <c r="I73" s="123" t="str">
        <f t="shared" si="49"/>
        <v>TOU Tariff 10</v>
      </c>
      <c r="J73" s="24">
        <f>E58+J58</f>
        <v>150</v>
      </c>
      <c r="K73" s="24">
        <f t="shared" si="51"/>
        <v>95</v>
      </c>
      <c r="L73" s="24">
        <f t="shared" si="42"/>
        <v>0.29999999999999982</v>
      </c>
      <c r="M73" s="24">
        <f t="shared" si="42"/>
        <v>1.1000000000000001</v>
      </c>
      <c r="N73" s="104">
        <f t="shared" si="42"/>
        <v>0.16000000000000014</v>
      </c>
      <c r="O73" s="105">
        <f t="shared" si="43"/>
        <v>0.06</v>
      </c>
      <c r="P73" s="105">
        <f t="shared" si="44"/>
        <v>0.29874213836477986</v>
      </c>
      <c r="Q73" s="105">
        <f t="shared" si="45"/>
        <v>4.1666666666666644E-2</v>
      </c>
      <c r="R73" s="105">
        <f t="shared" si="46"/>
        <v>0.5</v>
      </c>
      <c r="S73" s="107">
        <f t="shared" si="47"/>
        <v>9.1428571428571512E-2</v>
      </c>
    </row>
    <row r="74" spans="8:31" x14ac:dyDescent="0.3">
      <c r="O74" s="48"/>
      <c r="P74" s="52"/>
      <c r="Q74" s="52"/>
      <c r="R74" s="52"/>
      <c r="S74" s="49"/>
    </row>
  </sheetData>
  <mergeCells count="90">
    <mergeCell ref="B33:B36"/>
    <mergeCell ref="B37:B38"/>
    <mergeCell ref="B39:B42"/>
    <mergeCell ref="B21:B26"/>
    <mergeCell ref="D4:E5"/>
    <mergeCell ref="D6:E7"/>
    <mergeCell ref="B14:B17"/>
    <mergeCell ref="B18:B20"/>
    <mergeCell ref="H12:J12"/>
    <mergeCell ref="K12:M12"/>
    <mergeCell ref="I4:P7"/>
    <mergeCell ref="C9:D10"/>
    <mergeCell ref="C12:C13"/>
    <mergeCell ref="D12:D13"/>
    <mergeCell ref="O31:S31"/>
    <mergeCell ref="T31:X31"/>
    <mergeCell ref="W22:X22"/>
    <mergeCell ref="Z30:AB31"/>
    <mergeCell ref="F4:G5"/>
    <mergeCell ref="F6:G7"/>
    <mergeCell ref="E12:G12"/>
    <mergeCell ref="N12:P12"/>
    <mergeCell ref="R11:S12"/>
    <mergeCell ref="U13:X13"/>
    <mergeCell ref="W15:X15"/>
    <mergeCell ref="W16:X16"/>
    <mergeCell ref="W17:X17"/>
    <mergeCell ref="U15:V15"/>
    <mergeCell ref="U16:V16"/>
    <mergeCell ref="U17:V17"/>
    <mergeCell ref="O46:S46"/>
    <mergeCell ref="O47:S47"/>
    <mergeCell ref="D47:D48"/>
    <mergeCell ref="E47:I47"/>
    <mergeCell ref="E46:I46"/>
    <mergeCell ref="C47:C48"/>
    <mergeCell ref="C29:D30"/>
    <mergeCell ref="C44:E45"/>
    <mergeCell ref="J46:N46"/>
    <mergeCell ref="J47:N47"/>
    <mergeCell ref="C31:C32"/>
    <mergeCell ref="D31:D32"/>
    <mergeCell ref="E31:I31"/>
    <mergeCell ref="J31:N31"/>
    <mergeCell ref="U19:V19"/>
    <mergeCell ref="U20:V20"/>
    <mergeCell ref="U21:V21"/>
    <mergeCell ref="U22:V22"/>
    <mergeCell ref="T46:X46"/>
    <mergeCell ref="W19:X19"/>
    <mergeCell ref="W20:X20"/>
    <mergeCell ref="W21:X21"/>
    <mergeCell ref="T47:X47"/>
    <mergeCell ref="Z46:AC46"/>
    <mergeCell ref="Z48:AA48"/>
    <mergeCell ref="AB48:AC48"/>
    <mergeCell ref="Z49:AA49"/>
    <mergeCell ref="AB49:AC49"/>
    <mergeCell ref="Z62:AA62"/>
    <mergeCell ref="AB62:AC62"/>
    <mergeCell ref="Z53:AA53"/>
    <mergeCell ref="AB53:AC53"/>
    <mergeCell ref="AB58:AC58"/>
    <mergeCell ref="AB60:AC60"/>
    <mergeCell ref="Z54:AA54"/>
    <mergeCell ref="AB54:AC54"/>
    <mergeCell ref="Z55:AA55"/>
    <mergeCell ref="AB55:AC55"/>
    <mergeCell ref="Z56:AA56"/>
    <mergeCell ref="AB56:AC56"/>
    <mergeCell ref="Z57:AA57"/>
    <mergeCell ref="AB57:AC57"/>
    <mergeCell ref="Z59:AA59"/>
    <mergeCell ref="AB59:AC59"/>
    <mergeCell ref="H62:H63"/>
    <mergeCell ref="I62:I63"/>
    <mergeCell ref="Z50:AA50"/>
    <mergeCell ref="AB50:AC50"/>
    <mergeCell ref="Z51:AA51"/>
    <mergeCell ref="AB51:AC51"/>
    <mergeCell ref="Z52:AA52"/>
    <mergeCell ref="AB52:AC52"/>
    <mergeCell ref="J61:N61"/>
    <mergeCell ref="J62:N62"/>
    <mergeCell ref="O61:S61"/>
    <mergeCell ref="O62:S62"/>
    <mergeCell ref="Z58:AA58"/>
    <mergeCell ref="Z60:AA60"/>
    <mergeCell ref="Z61:AA61"/>
    <mergeCell ref="AB61:AC61"/>
  </mergeCells>
  <phoneticPr fontId="12" type="noConversion"/>
  <dataValidations count="2">
    <dataValidation type="list" allowBlank="1" showInputMessage="1" showErrorMessage="1" sqref="W15" xr:uid="{77217284-6796-4030-A1E1-54D6B80AA3FC}">
      <formula1>$D$14:$D$26</formula1>
    </dataValidation>
    <dataValidation type="list" allowBlank="1" showInputMessage="1" showErrorMessage="1" sqref="AB48:AC48" xr:uid="{EE1383B9-4420-43BC-A194-D48CEBD932A1}">
      <formula1>$D$33:$D$42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4829-373F-43CC-8F92-DCFD4B7A9365}">
  <sheetPr>
    <tabColor rgb="FF00B0F0"/>
  </sheetPr>
  <dimension ref="A1"/>
  <sheetViews>
    <sheetView showGridLines="0" zoomScale="70" zoomScaleNormal="70" workbookViewId="0">
      <selection activeCell="AG8" sqref="AG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864DD-69D2-4A40-812D-D8E9EDB6C742}">
  <sheetPr>
    <tabColor rgb="FF00B0F0"/>
  </sheetPr>
  <dimension ref="A1"/>
  <sheetViews>
    <sheetView showGridLines="0" zoomScaleNormal="100" workbookViewId="0">
      <selection activeCell="AG8" sqref="AG8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A0D1-7876-4D4D-99A1-1B294173705A}">
  <sheetPr>
    <tabColor rgb="FF086788"/>
  </sheetPr>
  <dimension ref="A1:N39"/>
  <sheetViews>
    <sheetView showGridLines="0" zoomScale="85" zoomScaleNormal="85" workbookViewId="0">
      <selection activeCell="E10" sqref="E10"/>
    </sheetView>
  </sheetViews>
  <sheetFormatPr defaultRowHeight="14.4" x14ac:dyDescent="0.3"/>
  <cols>
    <col min="1" max="1" width="3.33203125" customWidth="1"/>
    <col min="2" max="2" width="12.44140625" bestFit="1" customWidth="1"/>
    <col min="3" max="3" width="16.77734375" customWidth="1"/>
    <col min="4" max="4" width="17.33203125" customWidth="1"/>
    <col min="5" max="7" width="16.77734375" customWidth="1"/>
    <col min="8" max="8" width="17.44140625" customWidth="1"/>
    <col min="9" max="10" width="16.77734375" customWidth="1"/>
    <col min="11" max="12" width="17.21875" bestFit="1" customWidth="1"/>
  </cols>
  <sheetData>
    <row r="1" spans="1:13" x14ac:dyDescent="0.3">
      <c r="B1" s="6"/>
      <c r="C1" s="68" t="str">
        <f>'Tariffs Inputs'!C16&amp;" "&amp;'Tariffs Inputs'!D16&amp;" comparison"</f>
        <v>C Flat Tariff 3 comparison</v>
      </c>
      <c r="D1" s="6"/>
      <c r="E1" s="6"/>
      <c r="F1" s="6"/>
      <c r="G1" s="6"/>
      <c r="H1" s="6"/>
      <c r="I1" s="6"/>
      <c r="J1" s="6"/>
      <c r="K1" s="6"/>
      <c r="L1" s="6"/>
    </row>
    <row r="2" spans="1:13" ht="40.049999999999997" customHeight="1" x14ac:dyDescent="0.3">
      <c r="A2" s="7"/>
      <c r="B2" s="63" t="s">
        <v>3</v>
      </c>
      <c r="C2" s="152" t="str">
        <f>'Tariffs Inputs'!F4</f>
        <v>Year 1</v>
      </c>
      <c r="D2" s="153"/>
      <c r="E2" s="153"/>
      <c r="F2" s="154"/>
      <c r="G2" s="152" t="str">
        <f>'Tariffs Inputs'!F6</f>
        <v>Year 2</v>
      </c>
      <c r="H2" s="153"/>
      <c r="I2" s="153"/>
      <c r="J2" s="154"/>
      <c r="K2" s="148" t="s">
        <v>9</v>
      </c>
      <c r="L2" s="149" t="s">
        <v>10</v>
      </c>
    </row>
    <row r="3" spans="1:13" ht="45" customHeight="1" x14ac:dyDescent="0.3">
      <c r="A3" s="7"/>
      <c r="B3" s="69" t="s">
        <v>1</v>
      </c>
      <c r="C3" s="53" t="s">
        <v>6</v>
      </c>
      <c r="D3" s="65" t="s">
        <v>25</v>
      </c>
      <c r="E3" s="53" t="s">
        <v>24</v>
      </c>
      <c r="F3" s="53" t="s">
        <v>2</v>
      </c>
      <c r="G3" s="53" t="s">
        <v>6</v>
      </c>
      <c r="H3" s="65" t="s">
        <v>25</v>
      </c>
      <c r="I3" s="53" t="s">
        <v>24</v>
      </c>
      <c r="J3" s="65" t="s">
        <v>2</v>
      </c>
      <c r="K3" s="148"/>
      <c r="L3" s="150"/>
    </row>
    <row r="4" spans="1:13" x14ac:dyDescent="0.3">
      <c r="A4" s="7"/>
      <c r="B4" s="71">
        <v>600</v>
      </c>
      <c r="C4" s="9">
        <f>+'Tariffs Inputs'!$E$16</f>
        <v>0</v>
      </c>
      <c r="D4" s="24">
        <f>'Tariffs Inputs'!$F$16*'Tariffs Inputs'!$S$16</f>
        <v>0</v>
      </c>
      <c r="E4" s="9">
        <f>B4*'Tariffs Inputs'!$G$16</f>
        <v>2340</v>
      </c>
      <c r="F4" s="51">
        <f>+E4+D4+C4</f>
        <v>2340</v>
      </c>
      <c r="G4" s="11">
        <f>+'Tariffs Inputs'!$H$16</f>
        <v>65</v>
      </c>
      <c r="H4" s="30">
        <f>'Tariffs Inputs'!$I$16*'Tariffs Inputs'!$S$16</f>
        <v>0</v>
      </c>
      <c r="I4" s="11">
        <f>B4*'Tariffs Inputs'!$J$16</f>
        <v>2310</v>
      </c>
      <c r="J4" s="28">
        <f>+I4+H4+G4</f>
        <v>2375</v>
      </c>
      <c r="K4" s="75">
        <f>+J4-F4</f>
        <v>35</v>
      </c>
      <c r="L4" s="76">
        <f>+K4/F4</f>
        <v>1.4957264957264958E-2</v>
      </c>
    </row>
    <row r="5" spans="1:13" x14ac:dyDescent="0.3">
      <c r="A5" s="7"/>
      <c r="B5" s="72">
        <v>700</v>
      </c>
      <c r="C5" s="37">
        <f>+'Tariffs Inputs'!$E$16</f>
        <v>0</v>
      </c>
      <c r="D5" s="24">
        <f>'Tariffs Inputs'!$F$16*'Tariffs Inputs'!$S$16</f>
        <v>0</v>
      </c>
      <c r="E5" s="37">
        <f>B5*'Tariffs Inputs'!$G$16</f>
        <v>2730</v>
      </c>
      <c r="F5" s="25">
        <f>+E5+D5+C5</f>
        <v>2730</v>
      </c>
      <c r="G5" s="27">
        <f>+'Tariffs Inputs'!$H$16</f>
        <v>65</v>
      </c>
      <c r="H5" s="30">
        <f>'Tariffs Inputs'!$I$16*'Tariffs Inputs'!$S$16</f>
        <v>0</v>
      </c>
      <c r="I5" s="27">
        <f>B5*'Tariffs Inputs'!$J$16</f>
        <v>2695</v>
      </c>
      <c r="J5" s="29">
        <f>+I5+H5+G5</f>
        <v>2760</v>
      </c>
      <c r="K5" s="77">
        <f>+J5-F5</f>
        <v>30</v>
      </c>
      <c r="L5" s="78">
        <f>+K5/F5</f>
        <v>1.098901098901099E-2</v>
      </c>
      <c r="M5" s="12"/>
    </row>
    <row r="6" spans="1:13" x14ac:dyDescent="0.3">
      <c r="A6" s="7"/>
      <c r="B6" s="71">
        <v>800</v>
      </c>
      <c r="C6" s="9">
        <f>+'Tariffs Inputs'!$E$16</f>
        <v>0</v>
      </c>
      <c r="D6" s="24">
        <f>'Tariffs Inputs'!$F$16*'Tariffs Inputs'!$S$16</f>
        <v>0</v>
      </c>
      <c r="E6" s="9">
        <f>B6*'Tariffs Inputs'!$G$16</f>
        <v>3120</v>
      </c>
      <c r="F6" s="51">
        <f>+E6+D6+C6</f>
        <v>3120</v>
      </c>
      <c r="G6" s="11">
        <f>+'Tariffs Inputs'!$H$16</f>
        <v>65</v>
      </c>
      <c r="H6" s="30">
        <f>'Tariffs Inputs'!$I$16*'Tariffs Inputs'!$S$16</f>
        <v>0</v>
      </c>
      <c r="I6" s="11">
        <f>B6*'Tariffs Inputs'!$J$16</f>
        <v>3080</v>
      </c>
      <c r="J6" s="28">
        <f>+I6+H6+G6</f>
        <v>3145</v>
      </c>
      <c r="K6" s="75">
        <f>+J6-F6</f>
        <v>25</v>
      </c>
      <c r="L6" s="76">
        <f>+K6/F6</f>
        <v>8.0128205128205121E-3</v>
      </c>
    </row>
    <row r="7" spans="1:13" x14ac:dyDescent="0.3">
      <c r="A7" s="7"/>
      <c r="B7" s="72">
        <v>900</v>
      </c>
      <c r="C7" s="37">
        <f>+'Tariffs Inputs'!$E$16</f>
        <v>0</v>
      </c>
      <c r="D7" s="24">
        <f>'Tariffs Inputs'!$F$16*'Tariffs Inputs'!$S$16</f>
        <v>0</v>
      </c>
      <c r="E7" s="37">
        <f>B7*'Tariffs Inputs'!$G$16</f>
        <v>3510</v>
      </c>
      <c r="F7" s="25">
        <f>+E7+D7+C7</f>
        <v>3510</v>
      </c>
      <c r="G7" s="27">
        <f>+'Tariffs Inputs'!$H$16</f>
        <v>65</v>
      </c>
      <c r="H7" s="30">
        <f>'Tariffs Inputs'!$I$16*'Tariffs Inputs'!$S$16</f>
        <v>0</v>
      </c>
      <c r="I7" s="27">
        <f>B7*'Tariffs Inputs'!$J$16</f>
        <v>3465</v>
      </c>
      <c r="J7" s="29">
        <f>+I7+H7+G7</f>
        <v>3530</v>
      </c>
      <c r="K7" s="77">
        <f>+J7-F7</f>
        <v>20</v>
      </c>
      <c r="L7" s="78">
        <f>+K7/F7</f>
        <v>5.6980056980056983E-3</v>
      </c>
      <c r="M7" s="12"/>
    </row>
    <row r="8" spans="1:13" x14ac:dyDescent="0.3">
      <c r="A8" s="7"/>
      <c r="B8" s="71">
        <v>1000</v>
      </c>
      <c r="C8" s="9">
        <f>+'Tariffs Inputs'!$E$16</f>
        <v>0</v>
      </c>
      <c r="D8" s="24">
        <f>'Tariffs Inputs'!$F$16*'Tariffs Inputs'!$S$16</f>
        <v>0</v>
      </c>
      <c r="E8" s="9">
        <f>B8*'Tariffs Inputs'!$G$16</f>
        <v>3900</v>
      </c>
      <c r="F8" s="51">
        <f>+E8+D8+C8</f>
        <v>3900</v>
      </c>
      <c r="G8" s="11">
        <f>+'Tariffs Inputs'!$H$16</f>
        <v>65</v>
      </c>
      <c r="H8" s="30">
        <f>'Tariffs Inputs'!$I$16*'Tariffs Inputs'!$S$16</f>
        <v>0</v>
      </c>
      <c r="I8" s="11">
        <f>B8*'Tariffs Inputs'!$J$16</f>
        <v>3850</v>
      </c>
      <c r="J8" s="28">
        <f>+I8+H8+G8</f>
        <v>3915</v>
      </c>
      <c r="K8" s="75">
        <f>+J8-F8</f>
        <v>15</v>
      </c>
      <c r="L8" s="76">
        <f>+K8/F8</f>
        <v>3.8461538461538464E-3</v>
      </c>
    </row>
    <row r="9" spans="1:13" x14ac:dyDescent="0.3">
      <c r="B9" s="1"/>
      <c r="C9" s="2"/>
      <c r="D9" s="2"/>
      <c r="E9" s="2"/>
      <c r="F9" s="2"/>
      <c r="G9" s="2"/>
      <c r="H9" s="2"/>
      <c r="I9" s="2"/>
      <c r="J9" s="2"/>
      <c r="K9" s="3"/>
      <c r="L9" s="4"/>
    </row>
    <row r="11" spans="1:13" x14ac:dyDescent="0.3">
      <c r="B11" s="6"/>
      <c r="C11" s="68" t="str">
        <f>'Tariffs Inputs'!C17&amp;" "&amp;'Tariffs Inputs'!D17&amp;" comparison"</f>
        <v>D Flat Tariff 4 comparison</v>
      </c>
      <c r="D11" s="6"/>
      <c r="E11" s="6"/>
      <c r="F11" s="6"/>
      <c r="G11" s="6"/>
      <c r="H11" s="6"/>
      <c r="I11" s="6"/>
      <c r="J11" s="6"/>
      <c r="K11" s="6"/>
      <c r="L11" s="6"/>
    </row>
    <row r="12" spans="1:13" ht="40.049999999999997" customHeight="1" x14ac:dyDescent="0.3">
      <c r="A12" s="7"/>
      <c r="B12" s="53" t="s">
        <v>3</v>
      </c>
      <c r="C12" s="155" t="str">
        <f>'Tariffs Inputs'!F4</f>
        <v>Year 1</v>
      </c>
      <c r="D12" s="155"/>
      <c r="E12" s="155"/>
      <c r="F12" s="156"/>
      <c r="G12" s="155" t="str">
        <f>'Tariffs Inputs'!F6</f>
        <v>Year 2</v>
      </c>
      <c r="H12" s="155"/>
      <c r="I12" s="155"/>
      <c r="J12" s="156"/>
      <c r="K12" s="148" t="s">
        <v>9</v>
      </c>
      <c r="L12" s="148" t="s">
        <v>10</v>
      </c>
    </row>
    <row r="13" spans="1:13" ht="45" customHeight="1" x14ac:dyDescent="0.3">
      <c r="A13" s="7"/>
      <c r="B13" s="55" t="s">
        <v>1</v>
      </c>
      <c r="C13" s="53" t="s">
        <v>6</v>
      </c>
      <c r="D13" s="65" t="s">
        <v>25</v>
      </c>
      <c r="E13" s="53" t="s">
        <v>24</v>
      </c>
      <c r="F13" s="65" t="s">
        <v>2</v>
      </c>
      <c r="G13" s="53" t="s">
        <v>6</v>
      </c>
      <c r="H13" s="65" t="s">
        <v>25</v>
      </c>
      <c r="I13" s="53" t="s">
        <v>24</v>
      </c>
      <c r="J13" s="65" t="s">
        <v>2</v>
      </c>
      <c r="K13" s="148"/>
      <c r="L13" s="148"/>
    </row>
    <row r="14" spans="1:13" x14ac:dyDescent="0.3">
      <c r="A14" s="7"/>
      <c r="B14" s="73">
        <v>600</v>
      </c>
      <c r="C14" s="9">
        <f>+'Tariffs Inputs'!$E$17</f>
        <v>0</v>
      </c>
      <c r="D14" s="24">
        <f>+'Tariffs Inputs'!$F$17*'Tariffs Inputs'!$S$17</f>
        <v>0</v>
      </c>
      <c r="E14" s="24">
        <f>+(B14*'Tariffs Inputs'!$G$17)</f>
        <v>2424</v>
      </c>
      <c r="F14" s="24">
        <f>+E14+D14+C14</f>
        <v>2424</v>
      </c>
      <c r="G14" s="11">
        <f>+'Tariffs Inputs'!$H$17</f>
        <v>65</v>
      </c>
      <c r="H14" s="28">
        <f>'Tariffs Inputs'!$I$17*'Tariffs Inputs'!$S$17</f>
        <v>0</v>
      </c>
      <c r="I14" s="28">
        <f>B14*'Tariffs Inputs'!$J$17</f>
        <v>2400</v>
      </c>
      <c r="J14" s="28">
        <f>+I14+H14+G14</f>
        <v>2465</v>
      </c>
      <c r="K14" s="75">
        <f>+J14-F14</f>
        <v>41</v>
      </c>
      <c r="L14" s="76">
        <f>+K14/F14</f>
        <v>1.6914191419141914E-2</v>
      </c>
    </row>
    <row r="15" spans="1:13" x14ac:dyDescent="0.3">
      <c r="A15" s="7"/>
      <c r="B15" s="74">
        <v>700</v>
      </c>
      <c r="C15" s="37">
        <f>+'Tariffs Inputs'!$E$17</f>
        <v>0</v>
      </c>
      <c r="D15" s="24">
        <f>+'Tariffs Inputs'!$F$17*'Tariffs Inputs'!$S$17</f>
        <v>0</v>
      </c>
      <c r="E15" s="35">
        <f>+(B15*'Tariffs Inputs'!$G$17)</f>
        <v>2828</v>
      </c>
      <c r="F15" s="35">
        <f>+E15+D15+C15</f>
        <v>2828</v>
      </c>
      <c r="G15" s="27">
        <f>+'Tariffs Inputs'!$H$17</f>
        <v>65</v>
      </c>
      <c r="H15" s="28">
        <f>'Tariffs Inputs'!$I$17*'Tariffs Inputs'!$S$17</f>
        <v>0</v>
      </c>
      <c r="I15" s="29">
        <f>B15*'Tariffs Inputs'!$J$17</f>
        <v>2800</v>
      </c>
      <c r="J15" s="29">
        <f>+I15+H15+G15</f>
        <v>2865</v>
      </c>
      <c r="K15" s="77">
        <f>+J15-F15</f>
        <v>37</v>
      </c>
      <c r="L15" s="79">
        <f>+K15/F15</f>
        <v>1.3083451202263084E-2</v>
      </c>
    </row>
    <row r="16" spans="1:13" x14ac:dyDescent="0.3">
      <c r="A16" s="7"/>
      <c r="B16" s="73">
        <v>800</v>
      </c>
      <c r="C16" s="9">
        <f>+'Tariffs Inputs'!$E$17</f>
        <v>0</v>
      </c>
      <c r="D16" s="24">
        <f>+'Tariffs Inputs'!$F$17*'Tariffs Inputs'!$S$17</f>
        <v>0</v>
      </c>
      <c r="E16" s="24">
        <f>+(B16*'Tariffs Inputs'!$G$17)</f>
        <v>3232</v>
      </c>
      <c r="F16" s="24">
        <f>+E16+D16+C16</f>
        <v>3232</v>
      </c>
      <c r="G16" s="11">
        <f>+'Tariffs Inputs'!$H$17</f>
        <v>65</v>
      </c>
      <c r="H16" s="28">
        <f>'Tariffs Inputs'!$I$17*'Tariffs Inputs'!$S$17</f>
        <v>0</v>
      </c>
      <c r="I16" s="28">
        <f>B16*'Tariffs Inputs'!$J$17</f>
        <v>3200</v>
      </c>
      <c r="J16" s="28">
        <f>+I16+H16+G16</f>
        <v>3265</v>
      </c>
      <c r="K16" s="75">
        <f>+J16-F16</f>
        <v>33</v>
      </c>
      <c r="L16" s="76">
        <f>+K16/F16</f>
        <v>1.0210396039603961E-2</v>
      </c>
    </row>
    <row r="17" spans="1:14" x14ac:dyDescent="0.3">
      <c r="A17" s="7"/>
      <c r="B17" s="74">
        <v>900</v>
      </c>
      <c r="C17" s="37">
        <f>+'Tariffs Inputs'!$E$17</f>
        <v>0</v>
      </c>
      <c r="D17" s="24">
        <f>+'Tariffs Inputs'!$F$17*'Tariffs Inputs'!$S$17</f>
        <v>0</v>
      </c>
      <c r="E17" s="35">
        <f>+(B17*'Tariffs Inputs'!$G$17)</f>
        <v>3636</v>
      </c>
      <c r="F17" s="35">
        <f>+E17+D17+C17</f>
        <v>3636</v>
      </c>
      <c r="G17" s="27">
        <f>+'Tariffs Inputs'!$H$17</f>
        <v>65</v>
      </c>
      <c r="H17" s="28">
        <f>'Tariffs Inputs'!$I$17*'Tariffs Inputs'!$S$17</f>
        <v>0</v>
      </c>
      <c r="I17" s="29">
        <f>B17*'Tariffs Inputs'!$J$17</f>
        <v>3600</v>
      </c>
      <c r="J17" s="29">
        <f>+I17+H17+G17</f>
        <v>3665</v>
      </c>
      <c r="K17" s="77">
        <f>+J17-F17</f>
        <v>29</v>
      </c>
      <c r="L17" s="79">
        <f>+K17/F17</f>
        <v>7.9757975797579757E-3</v>
      </c>
    </row>
    <row r="18" spans="1:14" x14ac:dyDescent="0.3">
      <c r="A18" s="7"/>
      <c r="B18" s="73">
        <v>1000</v>
      </c>
      <c r="C18" s="9">
        <f>+'Tariffs Inputs'!$E$17</f>
        <v>0</v>
      </c>
      <c r="D18" s="24">
        <f>+'Tariffs Inputs'!$F$17*'Tariffs Inputs'!$S$17</f>
        <v>0</v>
      </c>
      <c r="E18" s="24">
        <f>+(B18*'Tariffs Inputs'!$G$17)</f>
        <v>4040</v>
      </c>
      <c r="F18" s="24">
        <f>+E18+D18+C18</f>
        <v>4040</v>
      </c>
      <c r="G18" s="11">
        <f>+'Tariffs Inputs'!$H$17</f>
        <v>65</v>
      </c>
      <c r="H18" s="28">
        <f>'Tariffs Inputs'!$I$17*'Tariffs Inputs'!$S$17</f>
        <v>0</v>
      </c>
      <c r="I18" s="28">
        <f>B18*'Tariffs Inputs'!$J$17</f>
        <v>4000</v>
      </c>
      <c r="J18" s="28">
        <f>+I18+H18+G18</f>
        <v>4065</v>
      </c>
      <c r="K18" s="75">
        <f>+J18-F18</f>
        <v>25</v>
      </c>
      <c r="L18" s="76">
        <f>+K18/F18</f>
        <v>6.1881188118811884E-3</v>
      </c>
    </row>
    <row r="19" spans="1:14" x14ac:dyDescent="0.3">
      <c r="A19" s="7"/>
      <c r="B19" s="1"/>
      <c r="C19" s="2"/>
      <c r="D19" s="2"/>
      <c r="E19" s="2"/>
      <c r="F19" s="2"/>
      <c r="G19" s="2"/>
      <c r="H19" s="2"/>
      <c r="I19" s="2"/>
      <c r="J19" s="2"/>
      <c r="K19" s="3"/>
      <c r="L19" s="67"/>
    </row>
    <row r="21" spans="1:14" x14ac:dyDescent="0.3">
      <c r="B21" s="48"/>
      <c r="C21" s="62" t="str">
        <f>'Tariffs Inputs'!C14&amp;" "&amp;'Tariffs Inputs'!D14&amp;" comparison"</f>
        <v>A Flat Tariff 1 comparison</v>
      </c>
      <c r="D21" s="52"/>
      <c r="E21" s="52"/>
      <c r="F21" s="52"/>
      <c r="G21" s="52"/>
      <c r="H21" s="52"/>
      <c r="I21" s="52"/>
      <c r="J21" s="52"/>
      <c r="K21" s="52"/>
      <c r="L21" s="49"/>
    </row>
    <row r="22" spans="1:14" ht="40.049999999999997" customHeight="1" x14ac:dyDescent="0.3">
      <c r="A22" s="7"/>
      <c r="B22" s="63" t="s">
        <v>3</v>
      </c>
      <c r="C22" s="144" t="str">
        <f>'Tariffs Inputs'!F4</f>
        <v>Year 1</v>
      </c>
      <c r="D22" s="145"/>
      <c r="E22" s="145"/>
      <c r="F22" s="145"/>
      <c r="G22" s="144" t="str">
        <f>'Tariffs Inputs'!F6</f>
        <v>Year 2</v>
      </c>
      <c r="H22" s="145"/>
      <c r="I22" s="145"/>
      <c r="J22" s="146"/>
      <c r="K22" s="148" t="s">
        <v>9</v>
      </c>
      <c r="L22" s="148" t="s">
        <v>10</v>
      </c>
    </row>
    <row r="23" spans="1:14" ht="45" customHeight="1" x14ac:dyDescent="0.3">
      <c r="A23" s="7"/>
      <c r="B23" s="55" t="s">
        <v>1</v>
      </c>
      <c r="C23" s="65" t="s">
        <v>6</v>
      </c>
      <c r="D23" s="65" t="s">
        <v>25</v>
      </c>
      <c r="E23" s="53" t="s">
        <v>24</v>
      </c>
      <c r="F23" s="63" t="s">
        <v>2</v>
      </c>
      <c r="G23" s="53" t="s">
        <v>6</v>
      </c>
      <c r="H23" s="65" t="s">
        <v>25</v>
      </c>
      <c r="I23" s="53" t="s">
        <v>24</v>
      </c>
      <c r="J23" s="64" t="s">
        <v>2</v>
      </c>
      <c r="K23" s="148"/>
      <c r="L23" s="148"/>
    </row>
    <row r="24" spans="1:14" x14ac:dyDescent="0.3">
      <c r="A24" s="7"/>
      <c r="B24" s="73">
        <v>100</v>
      </c>
      <c r="C24" s="24">
        <f>'Tariffs Inputs'!$E$14</f>
        <v>0</v>
      </c>
      <c r="D24" s="24">
        <f>'Tariffs Inputs'!$F$14*'Tariffs Inputs'!$S$14</f>
        <v>0</v>
      </c>
      <c r="E24" s="24">
        <f>+B24*'Tariffs Inputs'!$G$14</f>
        <v>260</v>
      </c>
      <c r="F24" s="24">
        <f>+E24+D24+C24</f>
        <v>260</v>
      </c>
      <c r="G24" s="28">
        <f>'Tariffs Inputs'!$H$14</f>
        <v>0</v>
      </c>
      <c r="H24" s="28">
        <f>'Tariffs Inputs'!$I$14*'Tariffs Inputs'!$S$14</f>
        <v>0</v>
      </c>
      <c r="I24" s="28">
        <f>+B24*'Tariffs Inputs'!$J$14</f>
        <v>254</v>
      </c>
      <c r="J24" s="28">
        <f>+I24+H24+G24</f>
        <v>254</v>
      </c>
      <c r="K24" s="75">
        <f>+J24-F24</f>
        <v>-6</v>
      </c>
      <c r="L24" s="76">
        <f>+K24/F24</f>
        <v>-2.3076923076923078E-2</v>
      </c>
    </row>
    <row r="25" spans="1:14" x14ac:dyDescent="0.3">
      <c r="A25" s="7"/>
      <c r="B25" s="74">
        <v>150</v>
      </c>
      <c r="C25" s="35">
        <f>'Tariffs Inputs'!$E$14</f>
        <v>0</v>
      </c>
      <c r="D25" s="24">
        <f>'Tariffs Inputs'!$F$14*'Tariffs Inputs'!$S$14</f>
        <v>0</v>
      </c>
      <c r="E25" s="35">
        <f>+B25*'Tariffs Inputs'!$G$14</f>
        <v>390</v>
      </c>
      <c r="F25" s="35">
        <f>+E25+D25+C25</f>
        <v>390</v>
      </c>
      <c r="G25" s="29">
        <f>'Tariffs Inputs'!$H$14</f>
        <v>0</v>
      </c>
      <c r="H25" s="28">
        <f>'Tariffs Inputs'!$I$14*'Tariffs Inputs'!$S$14</f>
        <v>0</v>
      </c>
      <c r="I25" s="29">
        <f>+B25*'Tariffs Inputs'!$J$14</f>
        <v>381</v>
      </c>
      <c r="J25" s="29">
        <f>+I25+H25+G25</f>
        <v>381</v>
      </c>
      <c r="K25" s="77">
        <f>+J25-F25</f>
        <v>-9</v>
      </c>
      <c r="L25" s="79">
        <f>+K25/F25</f>
        <v>-2.3076923076923078E-2</v>
      </c>
    </row>
    <row r="26" spans="1:14" x14ac:dyDescent="0.3">
      <c r="A26" s="7"/>
      <c r="B26" s="73">
        <v>200</v>
      </c>
      <c r="C26" s="24">
        <f>'Tariffs Inputs'!$E$14</f>
        <v>0</v>
      </c>
      <c r="D26" s="24">
        <f>'Tariffs Inputs'!$F$14*'Tariffs Inputs'!$S$14</f>
        <v>0</v>
      </c>
      <c r="E26" s="24">
        <f>+B26*'Tariffs Inputs'!$G$14</f>
        <v>520</v>
      </c>
      <c r="F26" s="24">
        <f>+E26+D26+C26</f>
        <v>520</v>
      </c>
      <c r="G26" s="28">
        <f>'Tariffs Inputs'!$H$14</f>
        <v>0</v>
      </c>
      <c r="H26" s="28">
        <f>'Tariffs Inputs'!$I$14*'Tariffs Inputs'!$S$14</f>
        <v>0</v>
      </c>
      <c r="I26" s="28">
        <f>+B26*'Tariffs Inputs'!$J$14</f>
        <v>508</v>
      </c>
      <c r="J26" s="28">
        <f>+I26+H26+G26</f>
        <v>508</v>
      </c>
      <c r="K26" s="75">
        <f>+J26-F26</f>
        <v>-12</v>
      </c>
      <c r="L26" s="76">
        <f>+K26/F26</f>
        <v>-2.3076923076923078E-2</v>
      </c>
    </row>
    <row r="27" spans="1:14" x14ac:dyDescent="0.3">
      <c r="A27" s="7"/>
      <c r="B27" s="73">
        <v>250</v>
      </c>
      <c r="C27" s="24">
        <f>'Tariffs Inputs'!$E$14</f>
        <v>0</v>
      </c>
      <c r="D27" s="24">
        <f>'Tariffs Inputs'!$F$14*'Tariffs Inputs'!$S$14</f>
        <v>0</v>
      </c>
      <c r="E27" s="24">
        <f>+B27*'Tariffs Inputs'!$G$14</f>
        <v>650</v>
      </c>
      <c r="F27" s="24">
        <f>+E27+D27+C27</f>
        <v>650</v>
      </c>
      <c r="G27" s="28">
        <f>'Tariffs Inputs'!$H$14</f>
        <v>0</v>
      </c>
      <c r="H27" s="28">
        <f>'Tariffs Inputs'!$I$14*'Tariffs Inputs'!$S$14</f>
        <v>0</v>
      </c>
      <c r="I27" s="28">
        <f>+B27*'Tariffs Inputs'!$J$14</f>
        <v>635</v>
      </c>
      <c r="J27" s="28">
        <f>+I27+H27+G27</f>
        <v>635</v>
      </c>
      <c r="K27" s="75">
        <f>+J27-F27</f>
        <v>-15</v>
      </c>
      <c r="L27" s="76">
        <f>+K27/F27</f>
        <v>-2.3076923076923078E-2</v>
      </c>
      <c r="M27" s="12"/>
      <c r="N27" s="90"/>
    </row>
    <row r="28" spans="1:14" x14ac:dyDescent="0.3">
      <c r="A28" s="7"/>
      <c r="B28" s="73">
        <v>300</v>
      </c>
      <c r="C28" s="24">
        <f>'Tariffs Inputs'!$E$14</f>
        <v>0</v>
      </c>
      <c r="D28" s="24">
        <f>'Tariffs Inputs'!$F$14*'Tariffs Inputs'!$S$14</f>
        <v>0</v>
      </c>
      <c r="E28" s="24">
        <f>+B28*'Tariffs Inputs'!$G$14</f>
        <v>780</v>
      </c>
      <c r="F28" s="24">
        <f>+E28+D28+C28</f>
        <v>780</v>
      </c>
      <c r="G28" s="28">
        <f>'Tariffs Inputs'!$H$14</f>
        <v>0</v>
      </c>
      <c r="H28" s="28">
        <f>'Tariffs Inputs'!$I$14*'Tariffs Inputs'!$S$14</f>
        <v>0</v>
      </c>
      <c r="I28" s="28">
        <f>+B28*'Tariffs Inputs'!$J$14</f>
        <v>762</v>
      </c>
      <c r="J28" s="28">
        <f>+I28+H28+G28</f>
        <v>762</v>
      </c>
      <c r="K28" s="75">
        <f>+J28-F28</f>
        <v>-18</v>
      </c>
      <c r="L28" s="76">
        <f>+K28/F28</f>
        <v>-2.3076923076923078E-2</v>
      </c>
      <c r="M28" s="12"/>
    </row>
    <row r="29" spans="1:14" x14ac:dyDescent="0.3">
      <c r="A29" s="7"/>
      <c r="B29" s="66"/>
      <c r="C29" s="2"/>
      <c r="D29" s="2"/>
      <c r="E29" s="2"/>
      <c r="F29" s="2"/>
      <c r="G29" s="2"/>
      <c r="H29" s="2"/>
      <c r="I29" s="2"/>
      <c r="J29" s="2"/>
      <c r="K29" s="3"/>
      <c r="L29" s="4"/>
      <c r="M29" s="12"/>
    </row>
    <row r="31" spans="1:14" x14ac:dyDescent="0.3">
      <c r="C31" s="5" t="str">
        <f>'Tariffs Inputs'!C15&amp;" "&amp;'Tariffs Inputs'!D15&amp;" comparison"</f>
        <v>B Flat Tariff 2 comparison</v>
      </c>
    </row>
    <row r="32" spans="1:14" ht="40.049999999999997" customHeight="1" x14ac:dyDescent="0.3">
      <c r="B32" s="56" t="s">
        <v>3</v>
      </c>
      <c r="C32" s="144" t="str">
        <f>'Tariffs Inputs'!F4</f>
        <v>Year 1</v>
      </c>
      <c r="D32" s="145"/>
      <c r="E32" s="145"/>
      <c r="F32" s="146"/>
      <c r="G32" s="147" t="str">
        <f>'Tariffs Inputs'!F6</f>
        <v>Year 2</v>
      </c>
      <c r="H32" s="147"/>
      <c r="I32" s="147"/>
      <c r="J32" s="147"/>
      <c r="K32" s="151" t="s">
        <v>9</v>
      </c>
      <c r="L32" s="151" t="s">
        <v>4</v>
      </c>
    </row>
    <row r="33" spans="2:12" ht="45" customHeight="1" x14ac:dyDescent="0.3">
      <c r="B33" s="57" t="s">
        <v>1</v>
      </c>
      <c r="C33" s="58" t="s">
        <v>6</v>
      </c>
      <c r="D33" s="65" t="s">
        <v>25</v>
      </c>
      <c r="E33" s="53" t="s">
        <v>24</v>
      </c>
      <c r="F33" s="56" t="s">
        <v>2</v>
      </c>
      <c r="G33" s="59" t="s">
        <v>6</v>
      </c>
      <c r="H33" s="65" t="s">
        <v>25</v>
      </c>
      <c r="I33" s="53" t="s">
        <v>24</v>
      </c>
      <c r="J33" s="59" t="s">
        <v>2</v>
      </c>
      <c r="K33" s="150"/>
      <c r="L33" s="150"/>
    </row>
    <row r="34" spans="2:12" x14ac:dyDescent="0.3">
      <c r="B34" s="73">
        <v>100</v>
      </c>
      <c r="C34" s="25">
        <f>'Tariffs Inputs'!$E$15</f>
        <v>0</v>
      </c>
      <c r="D34" s="37">
        <f>'Tariffs Inputs'!$F$15*'Tariffs Inputs'!$S$15</f>
        <v>0</v>
      </c>
      <c r="E34" s="25">
        <f>+B34*'Tariffs Inputs'!$G$15</f>
        <v>275</v>
      </c>
      <c r="F34" s="37">
        <f>+E34+D34+C34</f>
        <v>275</v>
      </c>
      <c r="G34" s="46">
        <f>'Tariffs Inputs'!$H$15</f>
        <v>0</v>
      </c>
      <c r="H34" s="27">
        <f>'Tariffs Inputs'!$I$15*'Tariffs Inputs'!$S$15</f>
        <v>0</v>
      </c>
      <c r="I34" s="46">
        <f>B34*'Tariffs Inputs'!$J$15</f>
        <v>280</v>
      </c>
      <c r="J34" s="27">
        <f>+I34+H34+G34</f>
        <v>280</v>
      </c>
      <c r="K34" s="80">
        <f>+J34-F34</f>
        <v>5</v>
      </c>
      <c r="L34" s="81">
        <f>+K34/F34</f>
        <v>1.8181818181818181E-2</v>
      </c>
    </row>
    <row r="35" spans="2:12" x14ac:dyDescent="0.3">
      <c r="B35" s="73">
        <v>150</v>
      </c>
      <c r="C35" s="51">
        <f>'Tariffs Inputs'!$E$15</f>
        <v>0</v>
      </c>
      <c r="D35" s="9">
        <f>'Tariffs Inputs'!$F$15*'Tariffs Inputs'!$S$15</f>
        <v>0</v>
      </c>
      <c r="E35" s="51">
        <f>+B35*'Tariffs Inputs'!$G$15</f>
        <v>412.5</v>
      </c>
      <c r="F35" s="9">
        <f>+E35+D35+C35</f>
        <v>412.5</v>
      </c>
      <c r="G35" s="30">
        <f>'Tariffs Inputs'!$H$15</f>
        <v>0</v>
      </c>
      <c r="H35" s="11">
        <f>'Tariffs Inputs'!$I$15*'Tariffs Inputs'!$S$15</f>
        <v>0</v>
      </c>
      <c r="I35" s="30">
        <f>B35*'Tariffs Inputs'!$J$15</f>
        <v>420</v>
      </c>
      <c r="J35" s="11">
        <f>+I35+H35+G35</f>
        <v>420</v>
      </c>
      <c r="K35" s="82">
        <f>+J35-F35</f>
        <v>7.5</v>
      </c>
      <c r="L35" s="83">
        <f>+K35/F35</f>
        <v>1.8181818181818181E-2</v>
      </c>
    </row>
    <row r="36" spans="2:12" x14ac:dyDescent="0.3">
      <c r="B36" s="73">
        <v>200</v>
      </c>
      <c r="C36" s="51">
        <f>'Tariffs Inputs'!$E$15</f>
        <v>0</v>
      </c>
      <c r="D36" s="9">
        <f>'Tariffs Inputs'!$F$15*'Tariffs Inputs'!$S$15</f>
        <v>0</v>
      </c>
      <c r="E36" s="51">
        <f>+B36*'Tariffs Inputs'!$G$15</f>
        <v>550</v>
      </c>
      <c r="F36" s="9">
        <f>+E36+D36+C36</f>
        <v>550</v>
      </c>
      <c r="G36" s="30">
        <f>'Tariffs Inputs'!$H$15</f>
        <v>0</v>
      </c>
      <c r="H36" s="11">
        <f>'Tariffs Inputs'!$I$15*'Tariffs Inputs'!$S$15</f>
        <v>0</v>
      </c>
      <c r="I36" s="30">
        <f>B36*'Tariffs Inputs'!$J$15</f>
        <v>560</v>
      </c>
      <c r="J36" s="11">
        <f>+I36+H36+G36</f>
        <v>560</v>
      </c>
      <c r="K36" s="82">
        <f>+J36-F36</f>
        <v>10</v>
      </c>
      <c r="L36" s="83">
        <f>+K36/F36</f>
        <v>1.8181818181818181E-2</v>
      </c>
    </row>
    <row r="37" spans="2:12" x14ac:dyDescent="0.3">
      <c r="B37" s="73">
        <v>250</v>
      </c>
      <c r="C37" s="51">
        <f>'Tariffs Inputs'!$E$15</f>
        <v>0</v>
      </c>
      <c r="D37" s="9">
        <f>'Tariffs Inputs'!$F$15*'Tariffs Inputs'!$S$15</f>
        <v>0</v>
      </c>
      <c r="E37" s="51">
        <f>+B37*'Tariffs Inputs'!$G$15</f>
        <v>687.5</v>
      </c>
      <c r="F37" s="9">
        <f>+E37+D37+C37</f>
        <v>687.5</v>
      </c>
      <c r="G37" s="30">
        <f>'Tariffs Inputs'!$H$15</f>
        <v>0</v>
      </c>
      <c r="H37" s="11">
        <f>'Tariffs Inputs'!$I$15*'Tariffs Inputs'!$S$15</f>
        <v>0</v>
      </c>
      <c r="I37" s="30">
        <f>B37*'Tariffs Inputs'!$J$15</f>
        <v>700</v>
      </c>
      <c r="J37" s="11">
        <f>+I37+H37+G37</f>
        <v>700</v>
      </c>
      <c r="K37" s="82">
        <f>+J37-F37</f>
        <v>12.5</v>
      </c>
      <c r="L37" s="83">
        <f>+K37/F37</f>
        <v>1.8181818181818181E-2</v>
      </c>
    </row>
    <row r="38" spans="2:12" x14ac:dyDescent="0.3">
      <c r="B38" s="73">
        <v>300</v>
      </c>
      <c r="C38" s="9">
        <f>'Tariffs Inputs'!$E$15</f>
        <v>0</v>
      </c>
      <c r="D38" s="9">
        <f>'Tariffs Inputs'!$F$15*'Tariffs Inputs'!$S$15</f>
        <v>0</v>
      </c>
      <c r="E38" s="9">
        <f>+B38*'Tariffs Inputs'!$G$15</f>
        <v>825</v>
      </c>
      <c r="F38" s="14">
        <f>+E38+D38+C38</f>
        <v>825</v>
      </c>
      <c r="G38" s="11">
        <f>'Tariffs Inputs'!$H$15</f>
        <v>0</v>
      </c>
      <c r="H38" s="11">
        <f>'Tariffs Inputs'!$I$15*'Tariffs Inputs'!$S$15</f>
        <v>0</v>
      </c>
      <c r="I38" s="46">
        <f>B38*'Tariffs Inputs'!$J$15</f>
        <v>840</v>
      </c>
      <c r="J38" s="26">
        <f>+I38+H38+G38</f>
        <v>840</v>
      </c>
      <c r="K38" s="84">
        <f>+J38-F38</f>
        <v>15</v>
      </c>
      <c r="L38" s="85">
        <f>+K38/F38</f>
        <v>1.8181818181818181E-2</v>
      </c>
    </row>
    <row r="39" spans="2:12" x14ac:dyDescent="0.3">
      <c r="B39" s="61"/>
      <c r="C39" s="2"/>
      <c r="D39" s="2"/>
      <c r="E39" s="2"/>
      <c r="F39" s="2"/>
      <c r="G39" s="2"/>
      <c r="H39" s="2"/>
      <c r="I39" s="60"/>
      <c r="J39" s="2"/>
      <c r="K39" s="3"/>
      <c r="L39" s="4"/>
    </row>
  </sheetData>
  <mergeCells count="16">
    <mergeCell ref="C32:F32"/>
    <mergeCell ref="G32:J32"/>
    <mergeCell ref="K2:K3"/>
    <mergeCell ref="L2:L3"/>
    <mergeCell ref="K12:K13"/>
    <mergeCell ref="L12:L13"/>
    <mergeCell ref="K22:K23"/>
    <mergeCell ref="L22:L23"/>
    <mergeCell ref="K32:K33"/>
    <mergeCell ref="L32:L33"/>
    <mergeCell ref="C2:F2"/>
    <mergeCell ref="G2:J2"/>
    <mergeCell ref="C12:F12"/>
    <mergeCell ref="G12:J12"/>
    <mergeCell ref="C22:F22"/>
    <mergeCell ref="G22:J2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E924-802A-434C-BEF6-880FA32C5A7C}">
  <sheetPr>
    <tabColor rgb="FF086788"/>
  </sheetPr>
  <dimension ref="B1:L33"/>
  <sheetViews>
    <sheetView showGridLines="0" workbookViewId="0">
      <selection activeCell="AC1" sqref="AC1:AC1048576"/>
    </sheetView>
  </sheetViews>
  <sheetFormatPr defaultRowHeight="14.4" x14ac:dyDescent="0.3"/>
  <cols>
    <col min="1" max="1" width="3.44140625" customWidth="1"/>
    <col min="2" max="2" width="14.109375" customWidth="1"/>
    <col min="3" max="3" width="11.44140625" customWidth="1"/>
    <col min="4" max="4" width="11.109375" customWidth="1"/>
    <col min="5" max="5" width="12.109375" bestFit="1" customWidth="1"/>
    <col min="6" max="6" width="12.88671875" customWidth="1"/>
    <col min="7" max="7" width="11.44140625" customWidth="1"/>
    <col min="8" max="8" width="11.109375" customWidth="1"/>
    <col min="9" max="9" width="12.44140625" bestFit="1" customWidth="1"/>
    <col min="10" max="10" width="13.44140625" customWidth="1"/>
    <col min="11" max="11" width="22.5546875" bestFit="1" customWidth="1"/>
    <col min="12" max="12" width="18.44140625" customWidth="1"/>
  </cols>
  <sheetData>
    <row r="1" spans="2:12" x14ac:dyDescent="0.3">
      <c r="C1" s="5" t="str">
        <f>'Tariffs Inputs'!C18&amp;" "&amp;'Tariffs Inputs'!D18&amp;" comparison"</f>
        <v>E Flat Tariff 5 comparison</v>
      </c>
    </row>
    <row r="2" spans="2:12" ht="25.05" customHeight="1" x14ac:dyDescent="0.3">
      <c r="B2" s="53" t="s">
        <v>3</v>
      </c>
      <c r="C2" s="155" t="str">
        <f>'Tariffs Inputs'!F4</f>
        <v>Year 1</v>
      </c>
      <c r="D2" s="155"/>
      <c r="E2" s="155"/>
      <c r="F2" s="156"/>
      <c r="G2" s="155" t="str">
        <f>'Tariffs Inputs'!F6</f>
        <v>Year 2</v>
      </c>
      <c r="H2" s="155"/>
      <c r="I2" s="155"/>
      <c r="J2" s="156"/>
      <c r="K2" s="148" t="s">
        <v>9</v>
      </c>
      <c r="L2" s="149" t="s">
        <v>10</v>
      </c>
    </row>
    <row r="3" spans="2:12" ht="43.2" x14ac:dyDescent="0.3">
      <c r="B3" s="55" t="s">
        <v>1</v>
      </c>
      <c r="C3" s="65" t="s">
        <v>6</v>
      </c>
      <c r="D3" s="65" t="s">
        <v>25</v>
      </c>
      <c r="E3" s="65" t="s">
        <v>24</v>
      </c>
      <c r="F3" s="53" t="s">
        <v>2</v>
      </c>
      <c r="G3" s="53" t="s">
        <v>6</v>
      </c>
      <c r="H3" s="70" t="s">
        <v>25</v>
      </c>
      <c r="I3" s="53" t="s">
        <v>24</v>
      </c>
      <c r="J3" s="65" t="s">
        <v>2</v>
      </c>
      <c r="K3" s="148"/>
      <c r="L3" s="150"/>
    </row>
    <row r="4" spans="2:12" x14ac:dyDescent="0.3">
      <c r="B4" s="71">
        <v>600</v>
      </c>
      <c r="C4" s="35">
        <f>+'Tariffs Inputs'!$E$18</f>
        <v>0</v>
      </c>
      <c r="D4" s="35">
        <f>'Tariffs Inputs'!$F$18*'Tariffs Inputs'!$S$18</f>
        <v>0</v>
      </c>
      <c r="E4" s="35">
        <f>+B4*'Tariffs Inputs'!$G$18</f>
        <v>2880</v>
      </c>
      <c r="F4" s="35">
        <f t="shared" ref="F4:F10" si="0">+E4+D4+C4</f>
        <v>2880</v>
      </c>
      <c r="G4" s="11">
        <f>+'Tariffs Inputs'!$H$18</f>
        <v>0</v>
      </c>
      <c r="H4" s="11">
        <f>'Tariffs Inputs'!$I$18*'Tariffs Inputs'!$S$18</f>
        <v>0</v>
      </c>
      <c r="I4" s="11">
        <f>B4*'Tariffs Inputs'!$J$18</f>
        <v>2987.7434270065332</v>
      </c>
      <c r="J4" s="11">
        <f t="shared" ref="J4:J10" si="1">+I4+H4+G4</f>
        <v>2987.7434270065332</v>
      </c>
      <c r="K4" s="75">
        <f t="shared" ref="K4:K10" si="2">+J4-F4</f>
        <v>107.74342700653324</v>
      </c>
      <c r="L4" s="76">
        <f t="shared" ref="L4:L10" si="3">+K4/F4</f>
        <v>3.7410912155046265E-2</v>
      </c>
    </row>
    <row r="5" spans="2:12" x14ac:dyDescent="0.3">
      <c r="B5" s="72">
        <v>700</v>
      </c>
      <c r="C5" s="24">
        <f>+'Tariffs Inputs'!$E$18</f>
        <v>0</v>
      </c>
      <c r="D5" s="24">
        <f>'Tariffs Inputs'!$F$18*'Tariffs Inputs'!$S$18</f>
        <v>0</v>
      </c>
      <c r="E5" s="24">
        <f>+B5*'Tariffs Inputs'!$G$18</f>
        <v>3360</v>
      </c>
      <c r="F5" s="24">
        <f t="shared" si="0"/>
        <v>3360</v>
      </c>
      <c r="G5" s="11">
        <f>+'Tariffs Inputs'!$H$18</f>
        <v>0</v>
      </c>
      <c r="H5" s="11">
        <f>'Tariffs Inputs'!$I$18*'Tariffs Inputs'!$S$18</f>
        <v>0</v>
      </c>
      <c r="I5" s="11">
        <f>B5*'Tariffs Inputs'!$J$18</f>
        <v>3485.7006648409551</v>
      </c>
      <c r="J5" s="11">
        <f t="shared" si="1"/>
        <v>3485.7006648409551</v>
      </c>
      <c r="K5" s="77">
        <f t="shared" si="2"/>
        <v>125.70066484095514</v>
      </c>
      <c r="L5" s="78">
        <f t="shared" si="3"/>
        <v>3.7410912155046175E-2</v>
      </c>
    </row>
    <row r="6" spans="2:12" x14ac:dyDescent="0.3">
      <c r="B6" s="71">
        <v>800</v>
      </c>
      <c r="C6" s="35">
        <f>+'Tariffs Inputs'!$E$18</f>
        <v>0</v>
      </c>
      <c r="D6" s="24">
        <f>'Tariffs Inputs'!$F$18*'Tariffs Inputs'!$S$18</f>
        <v>0</v>
      </c>
      <c r="E6" s="35">
        <f>+B6*'Tariffs Inputs'!$G$18</f>
        <v>3840</v>
      </c>
      <c r="F6" s="35">
        <f t="shared" si="0"/>
        <v>3840</v>
      </c>
      <c r="G6" s="11">
        <f>+'Tariffs Inputs'!$H$18</f>
        <v>0</v>
      </c>
      <c r="H6" s="11">
        <f>'Tariffs Inputs'!$I$18*'Tariffs Inputs'!$S$18</f>
        <v>0</v>
      </c>
      <c r="I6" s="11">
        <f>B6*'Tariffs Inputs'!$J$18</f>
        <v>3983.6579026753775</v>
      </c>
      <c r="J6" s="11">
        <f t="shared" si="1"/>
        <v>3983.6579026753775</v>
      </c>
      <c r="K6" s="75">
        <f t="shared" si="2"/>
        <v>143.6579026753775</v>
      </c>
      <c r="L6" s="76">
        <f t="shared" si="3"/>
        <v>3.7410912155046223E-2</v>
      </c>
    </row>
    <row r="7" spans="2:12" x14ac:dyDescent="0.3">
      <c r="B7" s="72">
        <v>1000</v>
      </c>
      <c r="C7" s="24">
        <f>+'Tariffs Inputs'!$E$18</f>
        <v>0</v>
      </c>
      <c r="D7" s="24">
        <f>'Tariffs Inputs'!$F$18*'Tariffs Inputs'!$S$18</f>
        <v>0</v>
      </c>
      <c r="E7" s="24">
        <f>+B7*'Tariffs Inputs'!$G$18</f>
        <v>4800</v>
      </c>
      <c r="F7" s="24">
        <f t="shared" si="0"/>
        <v>4800</v>
      </c>
      <c r="G7" s="11">
        <f>+'Tariffs Inputs'!$H$18</f>
        <v>0</v>
      </c>
      <c r="H7" s="11">
        <f>'Tariffs Inputs'!$I$18*'Tariffs Inputs'!$S$18</f>
        <v>0</v>
      </c>
      <c r="I7" s="11">
        <f>B7*'Tariffs Inputs'!$J$18</f>
        <v>4979.5723783442218</v>
      </c>
      <c r="J7" s="11">
        <f t="shared" si="1"/>
        <v>4979.5723783442218</v>
      </c>
      <c r="K7" s="77">
        <f t="shared" si="2"/>
        <v>179.57237834422176</v>
      </c>
      <c r="L7" s="78">
        <f t="shared" si="3"/>
        <v>3.7410912155046203E-2</v>
      </c>
    </row>
    <row r="8" spans="2:12" x14ac:dyDescent="0.3">
      <c r="B8" s="71">
        <v>3000</v>
      </c>
      <c r="C8" s="35">
        <f>+'Tariffs Inputs'!$E$18</f>
        <v>0</v>
      </c>
      <c r="D8" s="24">
        <f>'Tariffs Inputs'!$F$18*'Tariffs Inputs'!$S$18</f>
        <v>0</v>
      </c>
      <c r="E8" s="35">
        <f>+B8*'Tariffs Inputs'!$G$18</f>
        <v>14400</v>
      </c>
      <c r="F8" s="35">
        <f t="shared" si="0"/>
        <v>14400</v>
      </c>
      <c r="G8" s="11">
        <f>+'Tariffs Inputs'!$H$18</f>
        <v>0</v>
      </c>
      <c r="H8" s="11">
        <f>'Tariffs Inputs'!$I$18*'Tariffs Inputs'!$S$18</f>
        <v>0</v>
      </c>
      <c r="I8" s="11">
        <f>B8*'Tariffs Inputs'!$J$18</f>
        <v>14938.717135032666</v>
      </c>
      <c r="J8" s="11">
        <f t="shared" si="1"/>
        <v>14938.717135032666</v>
      </c>
      <c r="K8" s="75">
        <f t="shared" si="2"/>
        <v>538.71713503266619</v>
      </c>
      <c r="L8" s="76">
        <f t="shared" si="3"/>
        <v>3.7410912155046265E-2</v>
      </c>
    </row>
    <row r="9" spans="2:12" x14ac:dyDescent="0.3">
      <c r="B9" s="71">
        <v>5000</v>
      </c>
      <c r="C9" s="24">
        <f>+'Tariffs Inputs'!$E$18</f>
        <v>0</v>
      </c>
      <c r="D9" s="24">
        <f>'Tariffs Inputs'!$F$18*'Tariffs Inputs'!$S$18</f>
        <v>0</v>
      </c>
      <c r="E9" s="24">
        <f>+B9*'Tariffs Inputs'!$G$18</f>
        <v>24000</v>
      </c>
      <c r="F9" s="24">
        <f t="shared" si="0"/>
        <v>24000</v>
      </c>
      <c r="G9" s="11">
        <f>+'Tariffs Inputs'!$H$18</f>
        <v>0</v>
      </c>
      <c r="H9" s="11">
        <f>'Tariffs Inputs'!$I$18*'Tariffs Inputs'!$S$18</f>
        <v>0</v>
      </c>
      <c r="I9" s="11">
        <f>B9*'Tariffs Inputs'!$J$18</f>
        <v>24897.86189172111</v>
      </c>
      <c r="J9" s="11">
        <f t="shared" si="1"/>
        <v>24897.86189172111</v>
      </c>
      <c r="K9" s="75">
        <f t="shared" si="2"/>
        <v>897.86189172110971</v>
      </c>
      <c r="L9" s="76">
        <f t="shared" si="3"/>
        <v>3.7410912155046237E-2</v>
      </c>
    </row>
    <row r="10" spans="2:12" x14ac:dyDescent="0.3">
      <c r="B10" s="72">
        <v>8000</v>
      </c>
      <c r="C10" s="35">
        <f>+'Tariffs Inputs'!$E$18</f>
        <v>0</v>
      </c>
      <c r="D10" s="24">
        <f>'Tariffs Inputs'!$F$18*'Tariffs Inputs'!$S$18</f>
        <v>0</v>
      </c>
      <c r="E10" s="35">
        <f>+B10*'Tariffs Inputs'!$G$18</f>
        <v>38400</v>
      </c>
      <c r="F10" s="35">
        <f t="shared" si="0"/>
        <v>38400</v>
      </c>
      <c r="G10" s="47">
        <f>+'Tariffs Inputs'!$H$18</f>
        <v>0</v>
      </c>
      <c r="H10" s="11">
        <f>'Tariffs Inputs'!$I$18*'Tariffs Inputs'!$S$18</f>
        <v>0</v>
      </c>
      <c r="I10" s="47">
        <f>B10*'Tariffs Inputs'!$J$18</f>
        <v>39836.579026753774</v>
      </c>
      <c r="J10" s="47">
        <f t="shared" si="1"/>
        <v>39836.579026753774</v>
      </c>
      <c r="K10" s="77">
        <f t="shared" si="2"/>
        <v>1436.5790267537741</v>
      </c>
      <c r="L10" s="78">
        <f t="shared" si="3"/>
        <v>3.7410912155046203E-2</v>
      </c>
    </row>
    <row r="11" spans="2:12" x14ac:dyDescent="0.3">
      <c r="B11" s="86"/>
      <c r="C11" s="87"/>
      <c r="D11" s="87"/>
      <c r="E11" s="87"/>
      <c r="F11" s="87"/>
      <c r="G11" s="87"/>
      <c r="H11" s="87"/>
      <c r="I11" s="87"/>
      <c r="J11" s="87"/>
      <c r="K11" s="88"/>
      <c r="L11" s="89"/>
    </row>
    <row r="12" spans="2:12" x14ac:dyDescent="0.3">
      <c r="C12" s="5" t="str">
        <f>'Tariffs Inputs'!C19&amp;" "&amp;'Tariffs Inputs'!D19&amp;" comparison"</f>
        <v>F Flat Tariff 6 comparison</v>
      </c>
    </row>
    <row r="13" spans="2:12" ht="25.05" customHeight="1" x14ac:dyDescent="0.3">
      <c r="B13" s="53" t="s">
        <v>3</v>
      </c>
      <c r="C13" s="155" t="str">
        <f>'Tariffs Inputs'!F4</f>
        <v>Year 1</v>
      </c>
      <c r="D13" s="155"/>
      <c r="E13" s="155"/>
      <c r="F13" s="156"/>
      <c r="G13" s="155" t="str">
        <f>'Tariffs Inputs'!F6</f>
        <v>Year 2</v>
      </c>
      <c r="H13" s="155"/>
      <c r="I13" s="155"/>
      <c r="J13" s="156"/>
      <c r="K13" s="148" t="s">
        <v>9</v>
      </c>
      <c r="L13" s="149" t="s">
        <v>10</v>
      </c>
    </row>
    <row r="14" spans="2:12" ht="43.2" x14ac:dyDescent="0.3">
      <c r="B14" s="55" t="s">
        <v>1</v>
      </c>
      <c r="C14" s="65" t="s">
        <v>6</v>
      </c>
      <c r="D14" s="65" t="s">
        <v>25</v>
      </c>
      <c r="E14" s="65" t="s">
        <v>24</v>
      </c>
      <c r="F14" s="53" t="s">
        <v>2</v>
      </c>
      <c r="G14" s="53" t="s">
        <v>6</v>
      </c>
      <c r="H14" s="65" t="s">
        <v>25</v>
      </c>
      <c r="I14" s="65" t="s">
        <v>24</v>
      </c>
      <c r="J14" s="65" t="s">
        <v>2</v>
      </c>
      <c r="K14" s="148"/>
      <c r="L14" s="150"/>
    </row>
    <row r="15" spans="2:12" x14ac:dyDescent="0.3">
      <c r="B15" s="71">
        <v>600</v>
      </c>
      <c r="C15" s="35">
        <f>+'Tariffs Inputs'!$E$19</f>
        <v>1167</v>
      </c>
      <c r="D15" s="35">
        <f>'Tariffs Inputs'!$F$19*'Tariffs Inputs'!S19</f>
        <v>0</v>
      </c>
      <c r="E15" s="35">
        <f>+B15*'Tariffs Inputs'!$G$19</f>
        <v>2166</v>
      </c>
      <c r="F15" s="35">
        <f>+E15+D15+C15</f>
        <v>3333</v>
      </c>
      <c r="G15" s="29">
        <f>+'Tariffs Inputs'!$H$19</f>
        <v>1136.6957947461997</v>
      </c>
      <c r="H15" s="29">
        <f>'Tariffs Inputs'!$I$19*'Tariffs Inputs'!$S$19</f>
        <v>0</v>
      </c>
      <c r="I15" s="29">
        <f>B15*'Tariffs Inputs'!$J$19</f>
        <v>2348.9255961918798</v>
      </c>
      <c r="J15" s="29">
        <f>+I15+H15+G15</f>
        <v>3485.6213909380795</v>
      </c>
      <c r="K15" s="75">
        <f t="shared" ref="K15:K21" si="4">+J15-F15</f>
        <v>152.62139093807946</v>
      </c>
      <c r="L15" s="76">
        <f>+K15/F15</f>
        <v>4.5790996381061946E-2</v>
      </c>
    </row>
    <row r="16" spans="2:12" x14ac:dyDescent="0.3">
      <c r="B16" s="72">
        <v>700</v>
      </c>
      <c r="C16" s="24">
        <f>+'Tariffs Inputs'!$E$19</f>
        <v>1167</v>
      </c>
      <c r="D16" s="24">
        <f>'Tariffs Inputs'!$F$19*'Tariffs Inputs'!$S$19</f>
        <v>0</v>
      </c>
      <c r="E16" s="24">
        <f>+B16*'Tariffs Inputs'!$G$19</f>
        <v>2527</v>
      </c>
      <c r="F16" s="24">
        <f t="shared" ref="F16:F21" si="5">+E16+D16+C16</f>
        <v>3694</v>
      </c>
      <c r="G16" s="28">
        <f>+'Tariffs Inputs'!$H$19</f>
        <v>1136.6957947461997</v>
      </c>
      <c r="H16" s="28">
        <f>'Tariffs Inputs'!$I$19*'Tariffs Inputs'!$S$19</f>
        <v>0</v>
      </c>
      <c r="I16" s="28">
        <f>B16*'Tariffs Inputs'!$J$19</f>
        <v>2740.4131955571929</v>
      </c>
      <c r="J16" s="28">
        <f t="shared" ref="J16:J21" si="6">+I16+H16+G16</f>
        <v>3877.1089903033926</v>
      </c>
      <c r="K16" s="77">
        <f t="shared" si="4"/>
        <v>183.1089903033926</v>
      </c>
      <c r="L16" s="78">
        <f t="shared" ref="L16:L21" si="7">+K16/F16</f>
        <v>4.9569298945152301E-2</v>
      </c>
    </row>
    <row r="17" spans="2:12" x14ac:dyDescent="0.3">
      <c r="B17" s="71">
        <v>800</v>
      </c>
      <c r="C17" s="35">
        <f>+'Tariffs Inputs'!$E$19</f>
        <v>1167</v>
      </c>
      <c r="D17" s="24">
        <f>'Tariffs Inputs'!$F$19*'Tariffs Inputs'!$S$19</f>
        <v>0</v>
      </c>
      <c r="E17" s="35">
        <f>+B17*'Tariffs Inputs'!$G$19</f>
        <v>2888</v>
      </c>
      <c r="F17" s="35">
        <f t="shared" si="5"/>
        <v>4055</v>
      </c>
      <c r="G17" s="29">
        <f>+'Tariffs Inputs'!$H$19</f>
        <v>1136.6957947461997</v>
      </c>
      <c r="H17" s="28">
        <f>'Tariffs Inputs'!$I$19*'Tariffs Inputs'!$S$19</f>
        <v>0</v>
      </c>
      <c r="I17" s="29">
        <f>B17*'Tariffs Inputs'!$J$19</f>
        <v>3131.9007949225065</v>
      </c>
      <c r="J17" s="29">
        <f t="shared" si="6"/>
        <v>4268.5965896687067</v>
      </c>
      <c r="K17" s="75">
        <f t="shared" si="4"/>
        <v>213.59658966870666</v>
      </c>
      <c r="L17" s="76">
        <f t="shared" si="7"/>
        <v>5.2674867982418411E-2</v>
      </c>
    </row>
    <row r="18" spans="2:12" x14ac:dyDescent="0.3">
      <c r="B18" s="72">
        <v>1000</v>
      </c>
      <c r="C18" s="24">
        <f>+'Tariffs Inputs'!$E$19</f>
        <v>1167</v>
      </c>
      <c r="D18" s="24">
        <f>'Tariffs Inputs'!$F$19*'Tariffs Inputs'!$S$19</f>
        <v>0</v>
      </c>
      <c r="E18" s="24">
        <f>+B18*'Tariffs Inputs'!$G$19</f>
        <v>3610</v>
      </c>
      <c r="F18" s="24">
        <f t="shared" si="5"/>
        <v>4777</v>
      </c>
      <c r="G18" s="28">
        <f>+'Tariffs Inputs'!$H$19</f>
        <v>1136.6957947461997</v>
      </c>
      <c r="H18" s="28">
        <f>'Tariffs Inputs'!$I$19*'Tariffs Inputs'!$S$19</f>
        <v>0</v>
      </c>
      <c r="I18" s="28">
        <f>B18*'Tariffs Inputs'!$J$19</f>
        <v>3914.8759936531328</v>
      </c>
      <c r="J18" s="28">
        <f t="shared" si="6"/>
        <v>5051.5717883993329</v>
      </c>
      <c r="K18" s="77">
        <f t="shared" si="4"/>
        <v>274.57178839933295</v>
      </c>
      <c r="L18" s="78">
        <f t="shared" si="7"/>
        <v>5.7477870713697497E-2</v>
      </c>
    </row>
    <row r="19" spans="2:12" x14ac:dyDescent="0.3">
      <c r="B19" s="71">
        <v>3000</v>
      </c>
      <c r="C19" s="35">
        <f>+'Tariffs Inputs'!$E$19</f>
        <v>1167</v>
      </c>
      <c r="D19" s="24">
        <f>'Tariffs Inputs'!$F$19*'Tariffs Inputs'!$S$19</f>
        <v>0</v>
      </c>
      <c r="E19" s="35">
        <f>+B19*'Tariffs Inputs'!$G$19</f>
        <v>10830</v>
      </c>
      <c r="F19" s="35">
        <f t="shared" si="5"/>
        <v>11997</v>
      </c>
      <c r="G19" s="29">
        <f>+'Tariffs Inputs'!$H$19</f>
        <v>1136.6957947461997</v>
      </c>
      <c r="H19" s="28">
        <f>'Tariffs Inputs'!$I$19*'Tariffs Inputs'!$S$19</f>
        <v>0</v>
      </c>
      <c r="I19" s="29">
        <f>B19*'Tariffs Inputs'!$J$19</f>
        <v>11744.6279809594</v>
      </c>
      <c r="J19" s="29">
        <f t="shared" si="6"/>
        <v>12881.323775705599</v>
      </c>
      <c r="K19" s="75">
        <f t="shared" si="4"/>
        <v>884.32377570559947</v>
      </c>
      <c r="L19" s="76">
        <f t="shared" si="7"/>
        <v>7.3712075994465234E-2</v>
      </c>
    </row>
    <row r="20" spans="2:12" x14ac:dyDescent="0.3">
      <c r="B20" s="71">
        <v>5000</v>
      </c>
      <c r="C20" s="24">
        <f>+'Tariffs Inputs'!$E$19</f>
        <v>1167</v>
      </c>
      <c r="D20" s="24">
        <f>'Tariffs Inputs'!$F$19*'Tariffs Inputs'!$S$19</f>
        <v>0</v>
      </c>
      <c r="E20" s="24">
        <f>+B20*'Tariffs Inputs'!$G$19</f>
        <v>18050</v>
      </c>
      <c r="F20" s="24">
        <f t="shared" si="5"/>
        <v>19217</v>
      </c>
      <c r="G20" s="28">
        <f>+'Tariffs Inputs'!$H$19</f>
        <v>1136.6957947461997</v>
      </c>
      <c r="H20" s="28">
        <f>'Tariffs Inputs'!$I$19*'Tariffs Inputs'!$S$19</f>
        <v>0</v>
      </c>
      <c r="I20" s="28">
        <f>B20*'Tariffs Inputs'!$J$19</f>
        <v>19574.379968265665</v>
      </c>
      <c r="J20" s="28">
        <f t="shared" si="6"/>
        <v>20711.075763011864</v>
      </c>
      <c r="K20" s="75">
        <f t="shared" si="4"/>
        <v>1494.0757630118642</v>
      </c>
      <c r="L20" s="76">
        <f t="shared" si="7"/>
        <v>7.7747606963202584E-2</v>
      </c>
    </row>
    <row r="21" spans="2:12" x14ac:dyDescent="0.3">
      <c r="B21" s="72">
        <v>8000</v>
      </c>
      <c r="C21" s="35">
        <f>+'Tariffs Inputs'!$E$19</f>
        <v>1167</v>
      </c>
      <c r="D21" s="24">
        <f>'Tariffs Inputs'!$F$19*'Tariffs Inputs'!$S$19</f>
        <v>0</v>
      </c>
      <c r="E21" s="35">
        <f>+B21*'Tariffs Inputs'!$G$19</f>
        <v>28880</v>
      </c>
      <c r="F21" s="35">
        <f t="shared" si="5"/>
        <v>30047</v>
      </c>
      <c r="G21" s="29">
        <f>+'Tariffs Inputs'!$H$19</f>
        <v>1136.6957947461997</v>
      </c>
      <c r="H21" s="28">
        <f>'Tariffs Inputs'!$I$19*'Tariffs Inputs'!$S$19</f>
        <v>0</v>
      </c>
      <c r="I21" s="29">
        <f>B21*'Tariffs Inputs'!$J$19</f>
        <v>31319.007949225062</v>
      </c>
      <c r="J21" s="29">
        <f t="shared" si="6"/>
        <v>32455.703743971262</v>
      </c>
      <c r="K21" s="77">
        <f t="shared" si="4"/>
        <v>2408.7037439712622</v>
      </c>
      <c r="L21" s="78">
        <f t="shared" si="7"/>
        <v>8.0164533696251275E-2</v>
      </c>
    </row>
    <row r="22" spans="2:12" x14ac:dyDescent="0.3">
      <c r="B22" s="86"/>
      <c r="C22" s="87"/>
      <c r="D22" s="87"/>
      <c r="E22" s="87"/>
      <c r="F22" s="87"/>
      <c r="G22" s="87"/>
      <c r="H22" s="87"/>
      <c r="I22" s="87"/>
      <c r="J22" s="87"/>
      <c r="K22" s="88"/>
      <c r="L22" s="89"/>
    </row>
    <row r="23" spans="2:12" x14ac:dyDescent="0.3">
      <c r="C23" s="5" t="str">
        <f>'Tariffs Inputs'!C20&amp;" "&amp;'Tariffs Inputs'!D20&amp;" comparison"</f>
        <v>G Flat Tariff 7 comparison</v>
      </c>
    </row>
    <row r="24" spans="2:12" ht="24" customHeight="1" x14ac:dyDescent="0.3">
      <c r="B24" s="53" t="s">
        <v>3</v>
      </c>
      <c r="C24" s="155" t="str">
        <f>'Tariffs Inputs'!F4</f>
        <v>Year 1</v>
      </c>
      <c r="D24" s="155"/>
      <c r="E24" s="155"/>
      <c r="F24" s="156"/>
      <c r="G24" s="155" t="str">
        <f>'Tariffs Inputs'!F6</f>
        <v>Year 2</v>
      </c>
      <c r="H24" s="155"/>
      <c r="I24" s="155"/>
      <c r="J24" s="156"/>
      <c r="K24" s="148" t="s">
        <v>9</v>
      </c>
      <c r="L24" s="149" t="s">
        <v>10</v>
      </c>
    </row>
    <row r="25" spans="2:12" ht="43.2" x14ac:dyDescent="0.3">
      <c r="B25" s="55" t="s">
        <v>1</v>
      </c>
      <c r="C25" s="65" t="s">
        <v>6</v>
      </c>
      <c r="D25" s="65" t="s">
        <v>25</v>
      </c>
      <c r="E25" s="65" t="s">
        <v>24</v>
      </c>
      <c r="F25" s="53" t="s">
        <v>2</v>
      </c>
      <c r="G25" s="53" t="s">
        <v>6</v>
      </c>
      <c r="H25" s="65" t="s">
        <v>25</v>
      </c>
      <c r="I25" s="65" t="s">
        <v>24</v>
      </c>
      <c r="J25" s="65" t="s">
        <v>2</v>
      </c>
      <c r="K25" s="148"/>
      <c r="L25" s="150"/>
    </row>
    <row r="26" spans="2:12" x14ac:dyDescent="0.3">
      <c r="B26" s="71">
        <v>600</v>
      </c>
      <c r="C26" s="35">
        <f>+'Tariffs Inputs'!$E$20</f>
        <v>1200</v>
      </c>
      <c r="D26" s="35">
        <f>'Tariffs Inputs'!$F$20*'Tariffs Inputs'!$S$20</f>
        <v>0</v>
      </c>
      <c r="E26" s="35">
        <f>+B26*'Tariffs Inputs'!$G$20</f>
        <v>1560</v>
      </c>
      <c r="F26" s="35">
        <f>+E26+D26+C26</f>
        <v>2760</v>
      </c>
      <c r="G26" s="29">
        <f>+'Tariffs Inputs'!$H$20</f>
        <v>1300</v>
      </c>
      <c r="H26" s="29">
        <f>'Tariffs Inputs'!$I$20*'Tariffs Inputs'!$S$20</f>
        <v>0</v>
      </c>
      <c r="I26" s="29">
        <f>B26*'Tariffs Inputs'!$J$20</f>
        <v>1632.0000000000002</v>
      </c>
      <c r="J26" s="29">
        <f>+I26+H26+G26</f>
        <v>2932</v>
      </c>
      <c r="K26" s="75">
        <f t="shared" ref="K26:K32" si="8">+J26-F26</f>
        <v>172</v>
      </c>
      <c r="L26" s="76">
        <f>+K26/F26</f>
        <v>6.2318840579710148E-2</v>
      </c>
    </row>
    <row r="27" spans="2:12" x14ac:dyDescent="0.3">
      <c r="B27" s="72">
        <v>700</v>
      </c>
      <c r="C27" s="24">
        <f>+'Tariffs Inputs'!$E$20</f>
        <v>1200</v>
      </c>
      <c r="D27" s="24">
        <f>'Tariffs Inputs'!$F$20*'Tariffs Inputs'!$S$20</f>
        <v>0</v>
      </c>
      <c r="E27" s="24">
        <f>+B27*'Tariffs Inputs'!$G$20</f>
        <v>1820</v>
      </c>
      <c r="F27" s="24">
        <f t="shared" ref="F27:F32" si="9">+E27+D27+C27</f>
        <v>3020</v>
      </c>
      <c r="G27" s="28">
        <f>+'Tariffs Inputs'!$H$20</f>
        <v>1300</v>
      </c>
      <c r="H27" s="28">
        <f>'Tariffs Inputs'!$I$20*'Tariffs Inputs'!$S$20</f>
        <v>0</v>
      </c>
      <c r="I27" s="28">
        <f>B27*'Tariffs Inputs'!$J$20</f>
        <v>1904.0000000000002</v>
      </c>
      <c r="J27" s="28">
        <f>+I27+H27+G27</f>
        <v>3204</v>
      </c>
      <c r="K27" s="77">
        <f t="shared" si="8"/>
        <v>184</v>
      </c>
      <c r="L27" s="78">
        <f t="shared" ref="L27:L32" si="10">+K27/F27</f>
        <v>6.0927152317880796E-2</v>
      </c>
    </row>
    <row r="28" spans="2:12" x14ac:dyDescent="0.3">
      <c r="B28" s="71">
        <v>800</v>
      </c>
      <c r="C28" s="35">
        <f>+'Tariffs Inputs'!$E$20</f>
        <v>1200</v>
      </c>
      <c r="D28" s="24">
        <f>'Tariffs Inputs'!$F$20*'Tariffs Inputs'!$S$20</f>
        <v>0</v>
      </c>
      <c r="E28" s="35">
        <f>+B28*'Tariffs Inputs'!$G$20</f>
        <v>2080</v>
      </c>
      <c r="F28" s="35">
        <f t="shared" si="9"/>
        <v>3280</v>
      </c>
      <c r="G28" s="29">
        <f>+'Tariffs Inputs'!$H$20</f>
        <v>1300</v>
      </c>
      <c r="H28" s="28">
        <f>'Tariffs Inputs'!$I$20*'Tariffs Inputs'!$S$20</f>
        <v>0</v>
      </c>
      <c r="I28" s="29">
        <f>B28*'Tariffs Inputs'!$J$20</f>
        <v>2176</v>
      </c>
      <c r="J28" s="29">
        <f t="shared" ref="J28:J32" si="11">+I28+H28+G28</f>
        <v>3476</v>
      </c>
      <c r="K28" s="75">
        <f t="shared" si="8"/>
        <v>196</v>
      </c>
      <c r="L28" s="76">
        <f t="shared" si="10"/>
        <v>5.9756097560975607E-2</v>
      </c>
    </row>
    <row r="29" spans="2:12" x14ac:dyDescent="0.3">
      <c r="B29" s="72">
        <v>1000</v>
      </c>
      <c r="C29" s="24">
        <f>+'Tariffs Inputs'!$E$20</f>
        <v>1200</v>
      </c>
      <c r="D29" s="24">
        <f>'Tariffs Inputs'!$F$20*'Tariffs Inputs'!$S$20</f>
        <v>0</v>
      </c>
      <c r="E29" s="24">
        <f>+B29*'Tariffs Inputs'!$G$20</f>
        <v>2600</v>
      </c>
      <c r="F29" s="24">
        <f t="shared" si="9"/>
        <v>3800</v>
      </c>
      <c r="G29" s="28">
        <f>+'Tariffs Inputs'!$H$20</f>
        <v>1300</v>
      </c>
      <c r="H29" s="28">
        <f>'Tariffs Inputs'!$I$20*'Tariffs Inputs'!$S$20</f>
        <v>0</v>
      </c>
      <c r="I29" s="28">
        <f>B29*'Tariffs Inputs'!$J$20</f>
        <v>2720</v>
      </c>
      <c r="J29" s="28">
        <f t="shared" si="11"/>
        <v>4020</v>
      </c>
      <c r="K29" s="77">
        <f t="shared" si="8"/>
        <v>220</v>
      </c>
      <c r="L29" s="78">
        <f t="shared" si="10"/>
        <v>5.7894736842105263E-2</v>
      </c>
    </row>
    <row r="30" spans="2:12" x14ac:dyDescent="0.3">
      <c r="B30" s="71">
        <v>3000</v>
      </c>
      <c r="C30" s="35">
        <f>+'Tariffs Inputs'!$E$20</f>
        <v>1200</v>
      </c>
      <c r="D30" s="24">
        <f>'Tariffs Inputs'!$F$20*'Tariffs Inputs'!$S$20</f>
        <v>0</v>
      </c>
      <c r="E30" s="35">
        <f>+B30*'Tariffs Inputs'!$G$20</f>
        <v>7800</v>
      </c>
      <c r="F30" s="35">
        <f t="shared" si="9"/>
        <v>9000</v>
      </c>
      <c r="G30" s="29">
        <f>+'Tariffs Inputs'!$H$20</f>
        <v>1300</v>
      </c>
      <c r="H30" s="28">
        <f>'Tariffs Inputs'!$I$20*'Tariffs Inputs'!$S$20</f>
        <v>0</v>
      </c>
      <c r="I30" s="29">
        <f>B30*'Tariffs Inputs'!$J$20</f>
        <v>8160.0000000000009</v>
      </c>
      <c r="J30" s="29">
        <f t="shared" si="11"/>
        <v>9460</v>
      </c>
      <c r="K30" s="75">
        <f t="shared" si="8"/>
        <v>460</v>
      </c>
      <c r="L30" s="76">
        <f t="shared" si="10"/>
        <v>5.1111111111111114E-2</v>
      </c>
    </row>
    <row r="31" spans="2:12" x14ac:dyDescent="0.3">
      <c r="B31" s="71">
        <v>5000</v>
      </c>
      <c r="C31" s="24">
        <f>+'Tariffs Inputs'!$E$20</f>
        <v>1200</v>
      </c>
      <c r="D31" s="24">
        <f>'Tariffs Inputs'!$F$20*'Tariffs Inputs'!$S$20</f>
        <v>0</v>
      </c>
      <c r="E31" s="24">
        <f>+B31*'Tariffs Inputs'!$G$20</f>
        <v>13000</v>
      </c>
      <c r="F31" s="24">
        <f t="shared" si="9"/>
        <v>14200</v>
      </c>
      <c r="G31" s="28">
        <f>+'Tariffs Inputs'!$H$20</f>
        <v>1300</v>
      </c>
      <c r="H31" s="28">
        <f>'Tariffs Inputs'!$I$20*'Tariffs Inputs'!$S$20</f>
        <v>0</v>
      </c>
      <c r="I31" s="28">
        <f>B31*'Tariffs Inputs'!$J$20</f>
        <v>13600.000000000002</v>
      </c>
      <c r="J31" s="28">
        <f t="shared" si="11"/>
        <v>14900.000000000002</v>
      </c>
      <c r="K31" s="75">
        <f t="shared" si="8"/>
        <v>700.00000000000182</v>
      </c>
      <c r="L31" s="76">
        <f t="shared" si="10"/>
        <v>4.9295774647887453E-2</v>
      </c>
    </row>
    <row r="32" spans="2:12" x14ac:dyDescent="0.3">
      <c r="B32" s="72">
        <v>8000</v>
      </c>
      <c r="C32" s="35">
        <f>+'Tariffs Inputs'!$E$20</f>
        <v>1200</v>
      </c>
      <c r="D32" s="24">
        <f>'Tariffs Inputs'!$F$20*'Tariffs Inputs'!$S$20</f>
        <v>0</v>
      </c>
      <c r="E32" s="35">
        <f>+B32*'Tariffs Inputs'!$G$20</f>
        <v>20800</v>
      </c>
      <c r="F32" s="35">
        <f t="shared" si="9"/>
        <v>22000</v>
      </c>
      <c r="G32" s="29">
        <f>+'Tariffs Inputs'!$H$20</f>
        <v>1300</v>
      </c>
      <c r="H32" s="28">
        <f>'Tariffs Inputs'!$I$20*'Tariffs Inputs'!$S$20</f>
        <v>0</v>
      </c>
      <c r="I32" s="29">
        <f>B32*'Tariffs Inputs'!$J$20</f>
        <v>21760</v>
      </c>
      <c r="J32" s="29">
        <f t="shared" si="11"/>
        <v>23060</v>
      </c>
      <c r="K32" s="77">
        <f t="shared" si="8"/>
        <v>1060</v>
      </c>
      <c r="L32" s="78">
        <f t="shared" si="10"/>
        <v>4.818181818181818E-2</v>
      </c>
    </row>
    <row r="33" spans="2:12" x14ac:dyDescent="0.3">
      <c r="B33" s="86"/>
      <c r="C33" s="87"/>
      <c r="D33" s="87"/>
      <c r="E33" s="87"/>
      <c r="F33" s="87"/>
      <c r="G33" s="87"/>
      <c r="H33" s="87"/>
      <c r="I33" s="87"/>
      <c r="J33" s="87"/>
      <c r="K33" s="88"/>
      <c r="L33" s="89"/>
    </row>
  </sheetData>
  <mergeCells count="12">
    <mergeCell ref="C24:F24"/>
    <mergeCell ref="G24:J24"/>
    <mergeCell ref="K24:K25"/>
    <mergeCell ref="L24:L25"/>
    <mergeCell ref="L2:L3"/>
    <mergeCell ref="K13:K14"/>
    <mergeCell ref="L13:L14"/>
    <mergeCell ref="C2:F2"/>
    <mergeCell ref="C13:F13"/>
    <mergeCell ref="G2:J2"/>
    <mergeCell ref="G13:J13"/>
    <mergeCell ref="K2:K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F472-17DC-4551-9CFC-DCC2AA4CB5CE}">
  <sheetPr>
    <tabColor rgb="FF086788"/>
  </sheetPr>
  <dimension ref="B1:L71"/>
  <sheetViews>
    <sheetView showGridLines="0" zoomScale="55" zoomScaleNormal="55" workbookViewId="0">
      <selection activeCell="AC1" sqref="AC1:AC1048576"/>
    </sheetView>
  </sheetViews>
  <sheetFormatPr defaultRowHeight="14.4" x14ac:dyDescent="0.3"/>
  <cols>
    <col min="1" max="1" width="3.109375" customWidth="1"/>
    <col min="2" max="2" width="12.33203125" customWidth="1"/>
    <col min="3" max="3" width="11" customWidth="1"/>
    <col min="4" max="4" width="16.6640625" customWidth="1"/>
    <col min="5" max="5" width="14.88671875" customWidth="1"/>
    <col min="6" max="6" width="15.5546875" customWidth="1"/>
    <col min="7" max="7" width="12.109375" customWidth="1"/>
    <col min="8" max="8" width="15.33203125" customWidth="1"/>
    <col min="9" max="9" width="14.33203125" customWidth="1"/>
    <col min="10" max="10" width="16.77734375" customWidth="1"/>
    <col min="11" max="11" width="15.77734375" customWidth="1"/>
    <col min="12" max="12" width="26.77734375" bestFit="1" customWidth="1"/>
  </cols>
  <sheetData>
    <row r="1" spans="2:12" x14ac:dyDescent="0.3">
      <c r="C1" s="5" t="str">
        <f>'Tariffs Inputs'!C22&amp;" "&amp;'Tariffs Inputs'!D22&amp;" comparison"</f>
        <v>I Flat Tariff 9 comparison</v>
      </c>
    </row>
    <row r="2" spans="2:12" ht="28.8" customHeight="1" x14ac:dyDescent="0.3">
      <c r="B2" s="63" t="s">
        <v>3</v>
      </c>
      <c r="C2" s="152" t="str">
        <f>'Tariffs Inputs'!F4</f>
        <v>Year 1</v>
      </c>
      <c r="D2" s="153"/>
      <c r="E2" s="153"/>
      <c r="F2" s="154"/>
      <c r="G2" s="152" t="str">
        <f>'Tariffs Inputs'!F6</f>
        <v>Year 2</v>
      </c>
      <c r="H2" s="153"/>
      <c r="I2" s="153"/>
      <c r="J2" s="154"/>
      <c r="K2" s="148" t="s">
        <v>64</v>
      </c>
      <c r="L2" s="149" t="s">
        <v>10</v>
      </c>
    </row>
    <row r="3" spans="2:12" ht="42" customHeight="1" x14ac:dyDescent="0.3">
      <c r="B3" s="69" t="s">
        <v>1</v>
      </c>
      <c r="C3" s="53" t="s">
        <v>6</v>
      </c>
      <c r="D3" s="65" t="s">
        <v>25</v>
      </c>
      <c r="E3" s="53" t="s">
        <v>24</v>
      </c>
      <c r="F3" s="53" t="s">
        <v>2</v>
      </c>
      <c r="G3" s="53" t="s">
        <v>6</v>
      </c>
      <c r="H3" s="65" t="s">
        <v>25</v>
      </c>
      <c r="I3" s="53" t="s">
        <v>24</v>
      </c>
      <c r="J3" s="53" t="s">
        <v>2</v>
      </c>
      <c r="K3" s="148"/>
      <c r="L3" s="150"/>
    </row>
    <row r="4" spans="2:12" x14ac:dyDescent="0.3">
      <c r="B4" s="71">
        <v>20000</v>
      </c>
      <c r="C4" s="35">
        <f>+'Tariffs Inputs'!$E$22</f>
        <v>2537.7800000000002</v>
      </c>
      <c r="D4" s="37">
        <f>'Tariffs Inputs'!$F$22*'Tariffs Inputs'!$S$22</f>
        <v>213600</v>
      </c>
      <c r="E4" s="14">
        <f>B4*'Tariffs Inputs'!$G$22</f>
        <v>77400</v>
      </c>
      <c r="F4" s="37">
        <f>+E4+D4+C4</f>
        <v>293537.78000000003</v>
      </c>
      <c r="G4" s="46">
        <f>+'Tariffs Inputs'!$H$22</f>
        <v>2324.1509123283927</v>
      </c>
      <c r="H4" s="27">
        <f>'Tariffs Inputs'!$I$22*'Tariffs Inputs'!$S$22</f>
        <v>180000</v>
      </c>
      <c r="I4" s="46">
        <f>B4*'Tariffs Inputs'!$J$22</f>
        <v>82222.018009875232</v>
      </c>
      <c r="J4" s="27">
        <f>+I4+H4+G4</f>
        <v>264546.16892220359</v>
      </c>
      <c r="K4" s="77">
        <f t="shared" ref="K4:K10" si="0">+J4-F4</f>
        <v>-28991.611077796435</v>
      </c>
      <c r="L4" s="78">
        <f t="shared" ref="L4:L10" si="1">+K4/F4</f>
        <v>-9.8766199968523413E-2</v>
      </c>
    </row>
    <row r="5" spans="2:12" x14ac:dyDescent="0.3">
      <c r="B5" s="72">
        <v>30000</v>
      </c>
      <c r="C5" s="24">
        <f>+'Tariffs Inputs'!$E$22</f>
        <v>2537.7800000000002</v>
      </c>
      <c r="D5" s="9">
        <f>'Tariffs Inputs'!$F$22*'Tariffs Inputs'!$S$22</f>
        <v>213600</v>
      </c>
      <c r="E5" s="37">
        <f>B5*'Tariffs Inputs'!$G$22</f>
        <v>116100</v>
      </c>
      <c r="F5" s="9">
        <f t="shared" ref="F5:F10" si="2">+E5+D5+C5</f>
        <v>332237.78000000003</v>
      </c>
      <c r="G5" s="30">
        <f>+'Tariffs Inputs'!$H$22</f>
        <v>2324.1509123283927</v>
      </c>
      <c r="H5" s="11">
        <f>'Tariffs Inputs'!$I$22*'Tariffs Inputs'!$S$22</f>
        <v>180000</v>
      </c>
      <c r="I5" s="30">
        <f>B5*'Tariffs Inputs'!$J$22</f>
        <v>123333.02701481285</v>
      </c>
      <c r="J5" s="11">
        <f t="shared" ref="J5:J10" si="3">+I5+H5+G5</f>
        <v>305657.17792714125</v>
      </c>
      <c r="K5" s="75">
        <f t="shared" si="0"/>
        <v>-26580.602072858776</v>
      </c>
      <c r="L5" s="76">
        <f t="shared" si="1"/>
        <v>-8.0004754645479431E-2</v>
      </c>
    </row>
    <row r="6" spans="2:12" x14ac:dyDescent="0.3">
      <c r="B6" s="71">
        <v>40000</v>
      </c>
      <c r="C6" s="35">
        <f>+'Tariffs Inputs'!$E$22</f>
        <v>2537.7800000000002</v>
      </c>
      <c r="D6" s="9">
        <f>'Tariffs Inputs'!$F$22*'Tariffs Inputs'!$S$22</f>
        <v>213600</v>
      </c>
      <c r="E6" s="9">
        <f>B6*'Tariffs Inputs'!$G$22</f>
        <v>154800</v>
      </c>
      <c r="F6" s="37">
        <f t="shared" si="2"/>
        <v>370937.78</v>
      </c>
      <c r="G6" s="46">
        <f>+'Tariffs Inputs'!$H$22</f>
        <v>2324.1509123283927</v>
      </c>
      <c r="H6" s="11">
        <f>'Tariffs Inputs'!$I$22*'Tariffs Inputs'!$S$22</f>
        <v>180000</v>
      </c>
      <c r="I6" s="30">
        <f>B6*'Tariffs Inputs'!$J$22</f>
        <v>164444.03601975046</v>
      </c>
      <c r="J6" s="27">
        <f t="shared" si="3"/>
        <v>346768.18693207885</v>
      </c>
      <c r="K6" s="77">
        <f t="shared" si="0"/>
        <v>-24169.593067921174</v>
      </c>
      <c r="L6" s="78">
        <f t="shared" si="1"/>
        <v>-6.5158078715846016E-2</v>
      </c>
    </row>
    <row r="7" spans="2:12" x14ac:dyDescent="0.3">
      <c r="B7" s="72">
        <v>50000</v>
      </c>
      <c r="C7" s="24">
        <f>+'Tariffs Inputs'!$E$22</f>
        <v>2537.7800000000002</v>
      </c>
      <c r="D7" s="9">
        <f>'Tariffs Inputs'!$F$22*'Tariffs Inputs'!$S$22</f>
        <v>213600</v>
      </c>
      <c r="E7" s="14">
        <f>B7*'Tariffs Inputs'!$G$22</f>
        <v>193500</v>
      </c>
      <c r="F7" s="9">
        <f t="shared" si="2"/>
        <v>409637.78</v>
      </c>
      <c r="G7" s="30">
        <f>+'Tariffs Inputs'!$H$22</f>
        <v>2324.1509123283927</v>
      </c>
      <c r="H7" s="11">
        <f>'Tariffs Inputs'!$I$22*'Tariffs Inputs'!$S$22</f>
        <v>180000</v>
      </c>
      <c r="I7" s="30">
        <f>B7*'Tariffs Inputs'!$J$22</f>
        <v>205555.04502468809</v>
      </c>
      <c r="J7" s="11">
        <f t="shared" si="3"/>
        <v>387879.19593701651</v>
      </c>
      <c r="K7" s="75">
        <f t="shared" si="0"/>
        <v>-21758.584062983515</v>
      </c>
      <c r="L7" s="76">
        <f t="shared" si="1"/>
        <v>-5.311664383832837E-2</v>
      </c>
    </row>
    <row r="8" spans="2:12" x14ac:dyDescent="0.3">
      <c r="B8" s="71">
        <v>60000</v>
      </c>
      <c r="C8" s="35">
        <f>+'Tariffs Inputs'!$E$22</f>
        <v>2537.7800000000002</v>
      </c>
      <c r="D8" s="9">
        <f>'Tariffs Inputs'!$F$22*'Tariffs Inputs'!$S$22</f>
        <v>213600</v>
      </c>
      <c r="E8" s="37">
        <f>B8*'Tariffs Inputs'!$G$22</f>
        <v>232200</v>
      </c>
      <c r="F8" s="37">
        <f t="shared" si="2"/>
        <v>448337.78</v>
      </c>
      <c r="G8" s="46">
        <f>+'Tariffs Inputs'!$H$22</f>
        <v>2324.1509123283927</v>
      </c>
      <c r="H8" s="11">
        <f>'Tariffs Inputs'!$I$22*'Tariffs Inputs'!$S$22</f>
        <v>180000</v>
      </c>
      <c r="I8" s="30">
        <f>B8*'Tariffs Inputs'!$J$22</f>
        <v>246666.05402962569</v>
      </c>
      <c r="J8" s="27">
        <f t="shared" si="3"/>
        <v>428990.20494195411</v>
      </c>
      <c r="K8" s="77">
        <f t="shared" si="0"/>
        <v>-19347.575058045913</v>
      </c>
      <c r="L8" s="78">
        <f t="shared" si="1"/>
        <v>-4.3154014497832217E-2</v>
      </c>
    </row>
    <row r="9" spans="2:12" x14ac:dyDescent="0.3">
      <c r="B9" s="71">
        <v>70000</v>
      </c>
      <c r="C9" s="24">
        <f>+'Tariffs Inputs'!$E$22</f>
        <v>2537.7800000000002</v>
      </c>
      <c r="D9" s="9">
        <f>'Tariffs Inputs'!$F$22*'Tariffs Inputs'!$S$22</f>
        <v>213600</v>
      </c>
      <c r="E9" s="10">
        <f>B9*'Tariffs Inputs'!$G$22</f>
        <v>270900</v>
      </c>
      <c r="F9" s="9">
        <f t="shared" si="2"/>
        <v>487037.78</v>
      </c>
      <c r="G9" s="30">
        <f>+'Tariffs Inputs'!$H$22</f>
        <v>2324.1509123283927</v>
      </c>
      <c r="H9" s="11">
        <f>'Tariffs Inputs'!$I$22*'Tariffs Inputs'!$S$22</f>
        <v>180000</v>
      </c>
      <c r="I9" s="30">
        <f>B9*'Tariffs Inputs'!$J$22</f>
        <v>287777.06303456333</v>
      </c>
      <c r="J9" s="11">
        <f t="shared" si="3"/>
        <v>470101.21394689172</v>
      </c>
      <c r="K9" s="75">
        <f t="shared" si="0"/>
        <v>-16936.566053108312</v>
      </c>
      <c r="L9" s="76">
        <f t="shared" si="1"/>
        <v>-3.4774645312132278E-2</v>
      </c>
    </row>
    <row r="10" spans="2:12" x14ac:dyDescent="0.3">
      <c r="B10" s="72">
        <v>100000</v>
      </c>
      <c r="C10" s="35">
        <f>+'Tariffs Inputs'!$E$22</f>
        <v>2537.7800000000002</v>
      </c>
      <c r="D10" s="9">
        <f>'Tariffs Inputs'!$F$22*'Tariffs Inputs'!$S$22</f>
        <v>213600</v>
      </c>
      <c r="E10" s="10">
        <f>B10*'Tariffs Inputs'!$G$22</f>
        <v>387000</v>
      </c>
      <c r="F10" s="37">
        <f t="shared" si="2"/>
        <v>603137.78</v>
      </c>
      <c r="G10" s="46">
        <f>+'Tariffs Inputs'!$H$22</f>
        <v>2324.1509123283927</v>
      </c>
      <c r="H10" s="11">
        <f>'Tariffs Inputs'!$I$22*'Tariffs Inputs'!$S$22</f>
        <v>180000</v>
      </c>
      <c r="I10" s="30">
        <f>B10*'Tariffs Inputs'!$J$22</f>
        <v>411110.09004937619</v>
      </c>
      <c r="J10" s="27">
        <f t="shared" si="3"/>
        <v>593434.24096170464</v>
      </c>
      <c r="K10" s="77">
        <f t="shared" si="0"/>
        <v>-9703.5390382953919</v>
      </c>
      <c r="L10" s="78">
        <f t="shared" si="1"/>
        <v>-1.608842848195547E-2</v>
      </c>
    </row>
    <row r="11" spans="2:12" x14ac:dyDescent="0.3">
      <c r="B11" s="1"/>
      <c r="C11" s="2"/>
      <c r="D11" s="2"/>
      <c r="E11" s="2"/>
      <c r="F11" s="2"/>
      <c r="G11" s="2"/>
      <c r="H11" s="2"/>
      <c r="I11" s="2"/>
      <c r="J11" s="2"/>
      <c r="K11" s="3"/>
      <c r="L11" s="4"/>
    </row>
    <row r="13" spans="2:12" x14ac:dyDescent="0.3">
      <c r="C13" s="5" t="str">
        <f>'Tariffs Inputs'!C24&amp;" "&amp;'Tariffs Inputs'!D24&amp;" comparison"</f>
        <v>K Flat Tariff 11 comparison</v>
      </c>
    </row>
    <row r="14" spans="2:12" ht="28.8" customHeight="1" x14ac:dyDescent="0.3">
      <c r="B14" s="63" t="s">
        <v>3</v>
      </c>
      <c r="C14" s="152" t="str">
        <f>'Tariffs Inputs'!F4</f>
        <v>Year 1</v>
      </c>
      <c r="D14" s="153"/>
      <c r="E14" s="153"/>
      <c r="F14" s="154"/>
      <c r="G14" s="152" t="str">
        <f>'Tariffs Inputs'!F6</f>
        <v>Year 2</v>
      </c>
      <c r="H14" s="153"/>
      <c r="I14" s="153"/>
      <c r="J14" s="154"/>
      <c r="K14" s="148" t="s">
        <v>64</v>
      </c>
      <c r="L14" s="149" t="s">
        <v>10</v>
      </c>
    </row>
    <row r="15" spans="2:12" ht="43.2" x14ac:dyDescent="0.3">
      <c r="B15" s="69" t="s">
        <v>1</v>
      </c>
      <c r="C15" s="53" t="s">
        <v>6</v>
      </c>
      <c r="D15" s="65" t="s">
        <v>25</v>
      </c>
      <c r="E15" s="53" t="s">
        <v>24</v>
      </c>
      <c r="F15" s="53" t="s">
        <v>2</v>
      </c>
      <c r="G15" s="53" t="s">
        <v>6</v>
      </c>
      <c r="H15" s="65" t="s">
        <v>25</v>
      </c>
      <c r="I15" s="53" t="s">
        <v>24</v>
      </c>
      <c r="J15" s="53" t="s">
        <v>2</v>
      </c>
      <c r="K15" s="148"/>
      <c r="L15" s="150"/>
    </row>
    <row r="16" spans="2:12" x14ac:dyDescent="0.3">
      <c r="B16" s="71">
        <v>20000</v>
      </c>
      <c r="C16" s="35">
        <f>+'Tariffs Inputs'!$E$24</f>
        <v>2818.5</v>
      </c>
      <c r="D16" s="37">
        <f>'Tariffs Inputs'!$F$24*'Tariffs Inputs'!$S$24</f>
        <v>370000</v>
      </c>
      <c r="E16" s="35">
        <f>+B16*'Tariffs Inputs'!$G$24</f>
        <v>32200.000000000004</v>
      </c>
      <c r="F16" s="37">
        <f>+E16+D16+C16</f>
        <v>405018.5</v>
      </c>
      <c r="G16" s="46">
        <f>+'Tariffs Inputs'!$H$24</f>
        <v>2954</v>
      </c>
      <c r="H16" s="26">
        <f>'Tariffs Inputs'!$I$24*'Tariffs Inputs'!$S$24</f>
        <v>394000</v>
      </c>
      <c r="I16" s="46">
        <f>B16*'Tariffs Inputs'!$J$24</f>
        <v>35583.59651575108</v>
      </c>
      <c r="J16" s="27">
        <f>+I16+H16+G16</f>
        <v>432537.59651575109</v>
      </c>
      <c r="K16" s="77">
        <f t="shared" ref="K16:K22" si="4">+J16-F16</f>
        <v>27519.096515751095</v>
      </c>
      <c r="L16" s="78">
        <f>+K16/F16</f>
        <v>6.7945282785233499E-2</v>
      </c>
    </row>
    <row r="17" spans="2:12" x14ac:dyDescent="0.3">
      <c r="B17" s="72">
        <v>30000</v>
      </c>
      <c r="C17" s="24">
        <f>+'Tariffs Inputs'!$E$24</f>
        <v>2818.5</v>
      </c>
      <c r="D17" s="9">
        <f>'Tariffs Inputs'!$F$24*'Tariffs Inputs'!$S$24</f>
        <v>370000</v>
      </c>
      <c r="E17" s="24">
        <f>B17*'Tariffs Inputs'!$G$24</f>
        <v>48300</v>
      </c>
      <c r="F17" s="9">
        <f t="shared" ref="F17:F22" si="5">+E17+D17+C17</f>
        <v>421118.5</v>
      </c>
      <c r="G17" s="30">
        <f>+'Tariffs Inputs'!$H$24</f>
        <v>2954</v>
      </c>
      <c r="H17" s="11">
        <f>'Tariffs Inputs'!$I$24*'Tariffs Inputs'!$S$24</f>
        <v>394000</v>
      </c>
      <c r="I17" s="30">
        <f>B17*'Tariffs Inputs'!$J$24</f>
        <v>53375.394773626627</v>
      </c>
      <c r="J17" s="11">
        <f t="shared" ref="J17:J22" si="6">+I17+H17+G17</f>
        <v>450329.39477362664</v>
      </c>
      <c r="K17" s="75">
        <f t="shared" si="4"/>
        <v>29210.894773626642</v>
      </c>
      <c r="L17" s="76">
        <f t="shared" ref="L17:L22" si="7">+K17/F17</f>
        <v>6.9365023796453124E-2</v>
      </c>
    </row>
    <row r="18" spans="2:12" x14ac:dyDescent="0.3">
      <c r="B18" s="71">
        <v>40000</v>
      </c>
      <c r="C18" s="24">
        <f>+'Tariffs Inputs'!$E$24</f>
        <v>2818.5</v>
      </c>
      <c r="D18" s="9">
        <f>'Tariffs Inputs'!$F$24*'Tariffs Inputs'!$S$24</f>
        <v>370000</v>
      </c>
      <c r="E18" s="24">
        <f>B18*'Tariffs Inputs'!$G$24</f>
        <v>64400.000000000007</v>
      </c>
      <c r="F18" s="37">
        <f t="shared" si="5"/>
        <v>437218.5</v>
      </c>
      <c r="G18" s="30">
        <f>+'Tariffs Inputs'!$H$24</f>
        <v>2954</v>
      </c>
      <c r="H18" s="27">
        <f>'Tariffs Inputs'!$I$24*'Tariffs Inputs'!$S$24</f>
        <v>394000</v>
      </c>
      <c r="I18" s="30">
        <f>B18*'Tariffs Inputs'!$J$24</f>
        <v>71167.19303150216</v>
      </c>
      <c r="J18" s="27">
        <f t="shared" si="6"/>
        <v>468121.19303150219</v>
      </c>
      <c r="K18" s="77">
        <f t="shared" si="4"/>
        <v>30902.693031502189</v>
      </c>
      <c r="L18" s="78">
        <f t="shared" si="7"/>
        <v>7.0680204592216911E-2</v>
      </c>
    </row>
    <row r="19" spans="2:12" x14ac:dyDescent="0.3">
      <c r="B19" s="72">
        <v>50000</v>
      </c>
      <c r="C19" s="24">
        <f>+'Tariffs Inputs'!$E$24</f>
        <v>2818.5</v>
      </c>
      <c r="D19" s="9">
        <f>'Tariffs Inputs'!$F$24*'Tariffs Inputs'!$S$24</f>
        <v>370000</v>
      </c>
      <c r="E19" s="24">
        <f>B19*'Tariffs Inputs'!$G$24</f>
        <v>80500</v>
      </c>
      <c r="F19" s="9">
        <f t="shared" si="5"/>
        <v>453318.5</v>
      </c>
      <c r="G19" s="30">
        <f>+'Tariffs Inputs'!$H$24</f>
        <v>2954</v>
      </c>
      <c r="H19" s="11">
        <f>'Tariffs Inputs'!$I$24*'Tariffs Inputs'!$S$24</f>
        <v>394000</v>
      </c>
      <c r="I19" s="30">
        <f>B19*'Tariffs Inputs'!$J$24</f>
        <v>88958.991289377707</v>
      </c>
      <c r="J19" s="11">
        <f t="shared" si="6"/>
        <v>485912.99128937768</v>
      </c>
      <c r="K19" s="75">
        <f t="shared" si="4"/>
        <v>32594.491289377678</v>
      </c>
      <c r="L19" s="76">
        <f t="shared" si="7"/>
        <v>7.1901965812949789E-2</v>
      </c>
    </row>
    <row r="20" spans="2:12" x14ac:dyDescent="0.3">
      <c r="B20" s="71">
        <v>60000</v>
      </c>
      <c r="C20" s="24">
        <f>+'Tariffs Inputs'!$E$24</f>
        <v>2818.5</v>
      </c>
      <c r="D20" s="9">
        <f>'Tariffs Inputs'!$F$24*'Tariffs Inputs'!$S$24</f>
        <v>370000</v>
      </c>
      <c r="E20" s="24">
        <f>B20*'Tariffs Inputs'!$G$24</f>
        <v>96600</v>
      </c>
      <c r="F20" s="37">
        <f t="shared" si="5"/>
        <v>469418.5</v>
      </c>
      <c r="G20" s="30">
        <f>+'Tariffs Inputs'!$H$24</f>
        <v>2954</v>
      </c>
      <c r="H20" s="27">
        <f>'Tariffs Inputs'!$I$24*'Tariffs Inputs'!$S$24</f>
        <v>394000</v>
      </c>
      <c r="I20" s="30">
        <f>B20*'Tariffs Inputs'!$J$24</f>
        <v>106750.78954725325</v>
      </c>
      <c r="J20" s="27">
        <f t="shared" si="6"/>
        <v>503704.78954725328</v>
      </c>
      <c r="K20" s="77">
        <f t="shared" si="4"/>
        <v>34286.289547253284</v>
      </c>
      <c r="L20" s="78">
        <f t="shared" si="7"/>
        <v>7.3039919703320771E-2</v>
      </c>
    </row>
    <row r="21" spans="2:12" x14ac:dyDescent="0.3">
      <c r="B21" s="71">
        <v>70000</v>
      </c>
      <c r="C21" s="24">
        <f>+'Tariffs Inputs'!$E$24</f>
        <v>2818.5</v>
      </c>
      <c r="D21" s="9">
        <f>'Tariffs Inputs'!$F$24*'Tariffs Inputs'!$S$24</f>
        <v>370000</v>
      </c>
      <c r="E21" s="24">
        <f>B21*'Tariffs Inputs'!$G$24</f>
        <v>112700</v>
      </c>
      <c r="F21" s="9">
        <f t="shared" si="5"/>
        <v>485518.5</v>
      </c>
      <c r="G21" s="30">
        <f>+'Tariffs Inputs'!$H$24</f>
        <v>2954</v>
      </c>
      <c r="H21" s="47">
        <f>'Tariffs Inputs'!$I$24*'Tariffs Inputs'!$S$24</f>
        <v>394000</v>
      </c>
      <c r="I21" s="30">
        <f>B21*'Tariffs Inputs'!$J$24</f>
        <v>124542.58780512879</v>
      </c>
      <c r="J21" s="11">
        <f t="shared" si="6"/>
        <v>521496.58780512877</v>
      </c>
      <c r="K21" s="75">
        <f t="shared" si="4"/>
        <v>35978.087805128773</v>
      </c>
      <c r="L21" s="76">
        <f t="shared" si="7"/>
        <v>7.4102403523508928E-2</v>
      </c>
    </row>
    <row r="22" spans="2:12" x14ac:dyDescent="0.3">
      <c r="B22" s="72">
        <v>100000</v>
      </c>
      <c r="C22" s="24">
        <f>+'Tariffs Inputs'!$E$24</f>
        <v>2818.5</v>
      </c>
      <c r="D22" s="9">
        <f>'Tariffs Inputs'!$F$24*'Tariffs Inputs'!$S$24</f>
        <v>370000</v>
      </c>
      <c r="E22" s="24">
        <f>B22*'Tariffs Inputs'!$G$24</f>
        <v>161000</v>
      </c>
      <c r="F22" s="37">
        <f t="shared" si="5"/>
        <v>533818.5</v>
      </c>
      <c r="G22" s="30">
        <f>+'Tariffs Inputs'!$H$24</f>
        <v>2954</v>
      </c>
      <c r="H22" s="94">
        <f>'Tariffs Inputs'!$I$24*'Tariffs Inputs'!$S$24</f>
        <v>394000</v>
      </c>
      <c r="I22" s="94">
        <f>B22*'Tariffs Inputs'!$J$24</f>
        <v>177917.98257875541</v>
      </c>
      <c r="J22" s="47">
        <f t="shared" si="6"/>
        <v>574871.98257875536</v>
      </c>
      <c r="K22" s="77">
        <f t="shared" si="4"/>
        <v>41053.482578755356</v>
      </c>
      <c r="L22" s="78">
        <f t="shared" si="7"/>
        <v>7.6905320026854365E-2</v>
      </c>
    </row>
    <row r="23" spans="2:12" x14ac:dyDescent="0.3">
      <c r="B23" s="1"/>
      <c r="C23" s="2"/>
      <c r="D23" s="2"/>
      <c r="E23" s="2"/>
      <c r="F23" s="2"/>
      <c r="G23" s="2"/>
      <c r="H23" s="2"/>
      <c r="I23" s="95"/>
      <c r="J23" s="96"/>
      <c r="K23" s="3"/>
      <c r="L23" s="4"/>
    </row>
    <row r="25" spans="2:12" x14ac:dyDescent="0.3">
      <c r="C25" s="5" t="str">
        <f>'Tariffs Inputs'!C21&amp;" "&amp;'Tariffs Inputs'!D21&amp;" comparison"</f>
        <v>H Flat Tariff 8 comparison</v>
      </c>
    </row>
    <row r="26" spans="2:12" ht="28.8" customHeight="1" x14ac:dyDescent="0.3">
      <c r="B26" s="63" t="s">
        <v>3</v>
      </c>
      <c r="C26" s="152" t="str">
        <f>'Tariffs Inputs'!F4</f>
        <v>Year 1</v>
      </c>
      <c r="D26" s="153"/>
      <c r="E26" s="153"/>
      <c r="F26" s="154"/>
      <c r="G26" s="152" t="str">
        <f>'Tariffs Inputs'!F6</f>
        <v>Year 2</v>
      </c>
      <c r="H26" s="153"/>
      <c r="I26" s="153"/>
      <c r="J26" s="154"/>
      <c r="K26" s="148" t="s">
        <v>64</v>
      </c>
      <c r="L26" s="149" t="s">
        <v>10</v>
      </c>
    </row>
    <row r="27" spans="2:12" ht="43.2" customHeight="1" x14ac:dyDescent="0.3">
      <c r="B27" s="69" t="s">
        <v>1</v>
      </c>
      <c r="C27" s="53" t="s">
        <v>6</v>
      </c>
      <c r="D27" s="65" t="s">
        <v>25</v>
      </c>
      <c r="E27" s="53" t="s">
        <v>24</v>
      </c>
      <c r="F27" s="53" t="s">
        <v>2</v>
      </c>
      <c r="G27" s="53" t="s">
        <v>6</v>
      </c>
      <c r="H27" s="65" t="s">
        <v>25</v>
      </c>
      <c r="I27" s="53" t="s">
        <v>24</v>
      </c>
      <c r="J27" s="53" t="s">
        <v>2</v>
      </c>
      <c r="K27" s="148"/>
      <c r="L27" s="150"/>
    </row>
    <row r="28" spans="2:12" x14ac:dyDescent="0.3">
      <c r="B28" s="71">
        <v>20000</v>
      </c>
      <c r="C28" s="35">
        <f>+'Tariffs Inputs'!$E$21</f>
        <v>2784</v>
      </c>
      <c r="D28" s="37">
        <f>'Tariffs Inputs'!$F$21*'Tariffs Inputs'!$S$21</f>
        <v>164000</v>
      </c>
      <c r="E28" s="35">
        <f>B28*'Tariffs Inputs'!$G$21</f>
        <v>32200.000000000004</v>
      </c>
      <c r="F28" s="37">
        <f>+E28+D28+C28</f>
        <v>198984</v>
      </c>
      <c r="G28" s="46">
        <f>+'Tariffs Inputs'!$H$21</f>
        <v>2820</v>
      </c>
      <c r="H28" s="27">
        <f>'Tariffs Inputs'!$I$21*'Tariffs Inputs'!$S$21</f>
        <v>180000</v>
      </c>
      <c r="I28" s="46">
        <f>B28*'Tariffs Inputs'!$J$21</f>
        <v>35583.59651575108</v>
      </c>
      <c r="J28" s="27">
        <f>+I28+H28+G28</f>
        <v>218403.59651575109</v>
      </c>
      <c r="K28" s="77">
        <f t="shared" ref="K28:K34" si="8">+J28-F28</f>
        <v>19419.596515751095</v>
      </c>
      <c r="L28" s="78">
        <f t="shared" ref="L28:L34" si="9">+K28/F28</f>
        <v>9.7593758873834549E-2</v>
      </c>
    </row>
    <row r="29" spans="2:12" x14ac:dyDescent="0.3">
      <c r="B29" s="72">
        <v>30000</v>
      </c>
      <c r="C29" s="24">
        <f>+'Tariffs Inputs'!$E$21</f>
        <v>2784</v>
      </c>
      <c r="D29" s="9">
        <f>'Tariffs Inputs'!$F$21*'Tariffs Inputs'!$S$21</f>
        <v>164000</v>
      </c>
      <c r="E29" s="24">
        <f>B29*'Tariffs Inputs'!$G$21</f>
        <v>48300</v>
      </c>
      <c r="F29" s="9">
        <f t="shared" ref="F29:F34" si="10">+E29+D29+C29</f>
        <v>215084</v>
      </c>
      <c r="G29" s="30">
        <f>+'Tariffs Inputs'!$H$21</f>
        <v>2820</v>
      </c>
      <c r="H29" s="11">
        <f>'Tariffs Inputs'!$I$21*'Tariffs Inputs'!$S$21</f>
        <v>180000</v>
      </c>
      <c r="I29" s="30">
        <f>B29*'Tariffs Inputs'!$J$21</f>
        <v>53375.394773626627</v>
      </c>
      <c r="J29" s="11">
        <f t="shared" ref="J29:J34" si="11">+I29+H29+G29</f>
        <v>236195.39477362664</v>
      </c>
      <c r="K29" s="75">
        <f t="shared" si="8"/>
        <v>21111.394773626642</v>
      </c>
      <c r="L29" s="76">
        <f t="shared" si="9"/>
        <v>9.8154185218922108E-2</v>
      </c>
    </row>
    <row r="30" spans="2:12" x14ac:dyDescent="0.3">
      <c r="B30" s="71">
        <v>40000</v>
      </c>
      <c r="C30" s="35">
        <f>+'Tariffs Inputs'!$E$21</f>
        <v>2784</v>
      </c>
      <c r="D30" s="9">
        <f>'Tariffs Inputs'!$F$21*'Tariffs Inputs'!$S$21</f>
        <v>164000</v>
      </c>
      <c r="E30" s="24">
        <f>B30*'Tariffs Inputs'!$G$21</f>
        <v>64400.000000000007</v>
      </c>
      <c r="F30" s="37">
        <f t="shared" si="10"/>
        <v>231184</v>
      </c>
      <c r="G30" s="46">
        <f>+'Tariffs Inputs'!$H$21</f>
        <v>2820</v>
      </c>
      <c r="H30" s="11">
        <f>'Tariffs Inputs'!$I$21*'Tariffs Inputs'!$S$21</f>
        <v>180000</v>
      </c>
      <c r="I30" s="30">
        <f>B30*'Tariffs Inputs'!$J$21</f>
        <v>71167.19303150216</v>
      </c>
      <c r="J30" s="27">
        <f t="shared" si="11"/>
        <v>253987.19303150216</v>
      </c>
      <c r="K30" s="77">
        <f t="shared" si="8"/>
        <v>22803.19303150216</v>
      </c>
      <c r="L30" s="78">
        <f t="shared" si="9"/>
        <v>9.86365537039854E-2</v>
      </c>
    </row>
    <row r="31" spans="2:12" x14ac:dyDescent="0.3">
      <c r="B31" s="72">
        <v>50000</v>
      </c>
      <c r="C31" s="24">
        <f>+'Tariffs Inputs'!$E$21</f>
        <v>2784</v>
      </c>
      <c r="D31" s="9">
        <f>'Tariffs Inputs'!$F$21*'Tariffs Inputs'!$S$21</f>
        <v>164000</v>
      </c>
      <c r="E31" s="24">
        <f>B31*'Tariffs Inputs'!$G$21</f>
        <v>80500</v>
      </c>
      <c r="F31" s="9">
        <f t="shared" si="10"/>
        <v>247284</v>
      </c>
      <c r="G31" s="30">
        <f>+'Tariffs Inputs'!$H$21</f>
        <v>2820</v>
      </c>
      <c r="H31" s="11">
        <f>'Tariffs Inputs'!$I$21*'Tariffs Inputs'!$S$21</f>
        <v>180000</v>
      </c>
      <c r="I31" s="30">
        <f>B31*'Tariffs Inputs'!$J$21</f>
        <v>88958.991289377707</v>
      </c>
      <c r="J31" s="11">
        <f t="shared" si="11"/>
        <v>271778.99128937768</v>
      </c>
      <c r="K31" s="75">
        <f t="shared" si="8"/>
        <v>24494.991289377678</v>
      </c>
      <c r="L31" s="76">
        <f t="shared" si="9"/>
        <v>9.9056110744640491E-2</v>
      </c>
    </row>
    <row r="32" spans="2:12" x14ac:dyDescent="0.3">
      <c r="B32" s="71">
        <v>60000</v>
      </c>
      <c r="C32" s="35">
        <f>+'Tariffs Inputs'!$E$21</f>
        <v>2784</v>
      </c>
      <c r="D32" s="9">
        <f>'Tariffs Inputs'!$F$21*'Tariffs Inputs'!$S$21</f>
        <v>164000</v>
      </c>
      <c r="E32" s="24">
        <f>B32*'Tariffs Inputs'!$G$21</f>
        <v>96600</v>
      </c>
      <c r="F32" s="37">
        <f t="shared" si="10"/>
        <v>263384</v>
      </c>
      <c r="G32" s="46">
        <f>+'Tariffs Inputs'!$H$21</f>
        <v>2820</v>
      </c>
      <c r="H32" s="11">
        <f>'Tariffs Inputs'!$I$21*'Tariffs Inputs'!$S$21</f>
        <v>180000</v>
      </c>
      <c r="I32" s="30">
        <f>B32*'Tariffs Inputs'!$J$21</f>
        <v>106750.78954725325</v>
      </c>
      <c r="J32" s="27">
        <f t="shared" si="11"/>
        <v>289570.78954725328</v>
      </c>
      <c r="K32" s="77">
        <f t="shared" si="8"/>
        <v>26186.789547253284</v>
      </c>
      <c r="L32" s="78">
        <f t="shared" si="9"/>
        <v>9.9424374856685607E-2</v>
      </c>
    </row>
    <row r="33" spans="2:12" x14ac:dyDescent="0.3">
      <c r="B33" s="71">
        <v>70000</v>
      </c>
      <c r="C33" s="24">
        <f>+'Tariffs Inputs'!$E$21</f>
        <v>2784</v>
      </c>
      <c r="D33" s="9">
        <f>'Tariffs Inputs'!$F$21*'Tariffs Inputs'!$S$21</f>
        <v>164000</v>
      </c>
      <c r="E33" s="24">
        <f>B33*'Tariffs Inputs'!$G$21</f>
        <v>112700</v>
      </c>
      <c r="F33" s="9">
        <f t="shared" si="10"/>
        <v>279484</v>
      </c>
      <c r="G33" s="30">
        <f>+'Tariffs Inputs'!$H$21</f>
        <v>2820</v>
      </c>
      <c r="H33" s="11">
        <f>'Tariffs Inputs'!$I$21*'Tariffs Inputs'!$S$21</f>
        <v>180000</v>
      </c>
      <c r="I33" s="30">
        <f>B33*'Tariffs Inputs'!$J$21</f>
        <v>124542.58780512879</v>
      </c>
      <c r="J33" s="11">
        <f t="shared" si="11"/>
        <v>307362.58780512877</v>
      </c>
      <c r="K33" s="75">
        <f t="shared" si="8"/>
        <v>27878.587805128773</v>
      </c>
      <c r="L33" s="76">
        <f t="shared" si="9"/>
        <v>9.9750210406065368E-2</v>
      </c>
    </row>
    <row r="34" spans="2:12" x14ac:dyDescent="0.3">
      <c r="B34" s="72">
        <v>100000</v>
      </c>
      <c r="C34" s="35">
        <f>+'Tariffs Inputs'!$E$21</f>
        <v>2784</v>
      </c>
      <c r="D34" s="9">
        <f>'Tariffs Inputs'!$F$21*'Tariffs Inputs'!$S$21</f>
        <v>164000</v>
      </c>
      <c r="E34" s="24">
        <f>B34*'Tariffs Inputs'!$G$21</f>
        <v>161000</v>
      </c>
      <c r="F34" s="37">
        <f t="shared" si="10"/>
        <v>327784</v>
      </c>
      <c r="G34" s="46">
        <f>+'Tariffs Inputs'!$H$21</f>
        <v>2820</v>
      </c>
      <c r="H34" s="11">
        <f>'Tariffs Inputs'!$I$21*'Tariffs Inputs'!$S$21</f>
        <v>180000</v>
      </c>
      <c r="I34" s="30">
        <f>B34*'Tariffs Inputs'!$J$21</f>
        <v>177917.98257875541</v>
      </c>
      <c r="J34" s="27">
        <f t="shared" si="11"/>
        <v>360737.98257875541</v>
      </c>
      <c r="K34" s="77">
        <f t="shared" si="8"/>
        <v>32953.982578755415</v>
      </c>
      <c r="L34" s="78">
        <f t="shared" si="9"/>
        <v>0.10053566549543423</v>
      </c>
    </row>
    <row r="35" spans="2:12" x14ac:dyDescent="0.3">
      <c r="B35" s="1"/>
      <c r="C35" s="2"/>
      <c r="D35" s="2"/>
      <c r="E35" s="2"/>
      <c r="F35" s="2"/>
      <c r="G35" s="2"/>
      <c r="H35" s="2"/>
      <c r="I35" s="2"/>
      <c r="J35" s="2"/>
      <c r="K35" s="3"/>
      <c r="L35" s="4"/>
    </row>
    <row r="37" spans="2:12" x14ac:dyDescent="0.3">
      <c r="C37" s="5" t="str">
        <f>'Tariffs Inputs'!C23&amp;" "&amp;'Tariffs Inputs'!D23&amp;" comparison"</f>
        <v>J Flat Tariff 10 comparison</v>
      </c>
    </row>
    <row r="38" spans="2:12" ht="28.8" x14ac:dyDescent="0.3">
      <c r="B38" s="63" t="s">
        <v>3</v>
      </c>
      <c r="C38" s="152" t="str">
        <f>'Tariffs Inputs'!F4</f>
        <v>Year 1</v>
      </c>
      <c r="D38" s="153"/>
      <c r="E38" s="153"/>
      <c r="F38" s="154"/>
      <c r="G38" s="152" t="str">
        <f>'Tariffs Inputs'!F6</f>
        <v>Year 2</v>
      </c>
      <c r="H38" s="153"/>
      <c r="I38" s="153"/>
      <c r="J38" s="154"/>
      <c r="K38" s="148" t="s">
        <v>64</v>
      </c>
      <c r="L38" s="149" t="s">
        <v>10</v>
      </c>
    </row>
    <row r="39" spans="2:12" ht="43.2" x14ac:dyDescent="0.3">
      <c r="B39" s="69" t="s">
        <v>1</v>
      </c>
      <c r="C39" s="53" t="s">
        <v>6</v>
      </c>
      <c r="D39" s="65" t="s">
        <v>25</v>
      </c>
      <c r="E39" s="53" t="s">
        <v>24</v>
      </c>
      <c r="F39" s="53" t="s">
        <v>2</v>
      </c>
      <c r="G39" s="53" t="s">
        <v>6</v>
      </c>
      <c r="H39" s="65" t="s">
        <v>25</v>
      </c>
      <c r="I39" s="53" t="s">
        <v>24</v>
      </c>
      <c r="J39" s="53" t="s">
        <v>2</v>
      </c>
      <c r="K39" s="148"/>
      <c r="L39" s="150"/>
    </row>
    <row r="40" spans="2:12" x14ac:dyDescent="0.3">
      <c r="B40" s="71">
        <v>20000</v>
      </c>
      <c r="C40" s="35">
        <f>+'Tariffs Inputs'!$E$23</f>
        <v>1200</v>
      </c>
      <c r="D40" s="37">
        <f>'Tariffs Inputs'!$F$23*'Tariffs Inputs'!$S$23</f>
        <v>201000</v>
      </c>
      <c r="E40" s="35">
        <f>B40*'Tariffs Inputs'!$G$23</f>
        <v>44000</v>
      </c>
      <c r="F40" s="37">
        <f>+E40+D40+C40</f>
        <v>246200</v>
      </c>
      <c r="G40" s="46">
        <f>+'Tariffs Inputs'!$H$23</f>
        <v>1300</v>
      </c>
      <c r="H40" s="27">
        <f>'Tariffs Inputs'!$I$23*'Tariffs Inputs'!$S$23</f>
        <v>195000</v>
      </c>
      <c r="I40" s="46">
        <f>B40*'Tariffs Inputs'!$J$23</f>
        <v>49200</v>
      </c>
      <c r="J40" s="27">
        <f>+I40+H40+G40</f>
        <v>245500</v>
      </c>
      <c r="K40" s="77">
        <f t="shared" ref="K40:K46" si="12">+J40-F40</f>
        <v>-700</v>
      </c>
      <c r="L40" s="78">
        <f>+K40/F40</f>
        <v>-2.843216896831844E-3</v>
      </c>
    </row>
    <row r="41" spans="2:12" x14ac:dyDescent="0.3">
      <c r="B41" s="72">
        <v>30000</v>
      </c>
      <c r="C41" s="24">
        <f>+'Tariffs Inputs'!$E$23</f>
        <v>1200</v>
      </c>
      <c r="D41" s="9">
        <f>'Tariffs Inputs'!$F$23*'Tariffs Inputs'!$S$23</f>
        <v>201000</v>
      </c>
      <c r="E41" s="24">
        <f>B41*'Tariffs Inputs'!$G$23</f>
        <v>66000</v>
      </c>
      <c r="F41" s="9">
        <f t="shared" ref="F41:F46" si="13">+E41+D41+C41</f>
        <v>268200</v>
      </c>
      <c r="G41" s="30">
        <f>+'Tariffs Inputs'!$H$23</f>
        <v>1300</v>
      </c>
      <c r="H41" s="11">
        <f>'Tariffs Inputs'!$I$23*'Tariffs Inputs'!$S$23</f>
        <v>195000</v>
      </c>
      <c r="I41" s="30">
        <f>B41*'Tariffs Inputs'!$J$23</f>
        <v>73800</v>
      </c>
      <c r="J41" s="11">
        <f t="shared" ref="J41:J46" si="14">+I41+H41+G41</f>
        <v>270100</v>
      </c>
      <c r="K41" s="75">
        <f t="shared" si="12"/>
        <v>1900</v>
      </c>
      <c r="L41" s="76">
        <f t="shared" ref="L41:L46" si="15">+K41/F41</f>
        <v>7.0842654735272185E-3</v>
      </c>
    </row>
    <row r="42" spans="2:12" x14ac:dyDescent="0.3">
      <c r="B42" s="71">
        <v>40000</v>
      </c>
      <c r="C42" s="24">
        <f>+'Tariffs Inputs'!$E$23</f>
        <v>1200</v>
      </c>
      <c r="D42" s="9">
        <f>'Tariffs Inputs'!$F$23*'Tariffs Inputs'!$S$23</f>
        <v>201000</v>
      </c>
      <c r="E42" s="24">
        <f>B42*'Tariffs Inputs'!$G$23</f>
        <v>88000</v>
      </c>
      <c r="F42" s="37">
        <f t="shared" si="13"/>
        <v>290200</v>
      </c>
      <c r="G42" s="30">
        <f>+'Tariffs Inputs'!$H$23</f>
        <v>1300</v>
      </c>
      <c r="H42" s="11">
        <f>'Tariffs Inputs'!$I$23*'Tariffs Inputs'!$S$23</f>
        <v>195000</v>
      </c>
      <c r="I42" s="30">
        <f>B42*'Tariffs Inputs'!$J$23</f>
        <v>98400</v>
      </c>
      <c r="J42" s="27">
        <f t="shared" si="14"/>
        <v>294700</v>
      </c>
      <c r="K42" s="77">
        <f t="shared" si="12"/>
        <v>4500</v>
      </c>
      <c r="L42" s="78">
        <f t="shared" si="15"/>
        <v>1.5506547208821502E-2</v>
      </c>
    </row>
    <row r="43" spans="2:12" x14ac:dyDescent="0.3">
      <c r="B43" s="72">
        <v>50000</v>
      </c>
      <c r="C43" s="24">
        <f>+'Tariffs Inputs'!$E$23</f>
        <v>1200</v>
      </c>
      <c r="D43" s="9">
        <f>'Tariffs Inputs'!$F$23*'Tariffs Inputs'!$S$23</f>
        <v>201000</v>
      </c>
      <c r="E43" s="24">
        <f>B43*'Tariffs Inputs'!$G$23</f>
        <v>110000.00000000001</v>
      </c>
      <c r="F43" s="9">
        <f t="shared" si="13"/>
        <v>312200</v>
      </c>
      <c r="G43" s="30">
        <f>+'Tariffs Inputs'!$H$23</f>
        <v>1300</v>
      </c>
      <c r="H43" s="11">
        <f>'Tariffs Inputs'!$I$23*'Tariffs Inputs'!$S$23</f>
        <v>195000</v>
      </c>
      <c r="I43" s="30">
        <f>B43*'Tariffs Inputs'!$J$23</f>
        <v>123000</v>
      </c>
      <c r="J43" s="11">
        <f t="shared" si="14"/>
        <v>319300</v>
      </c>
      <c r="K43" s="75">
        <f t="shared" si="12"/>
        <v>7100</v>
      </c>
      <c r="L43" s="76">
        <f t="shared" si="15"/>
        <v>2.2741832158872519E-2</v>
      </c>
    </row>
    <row r="44" spans="2:12" x14ac:dyDescent="0.3">
      <c r="B44" s="71">
        <v>60000</v>
      </c>
      <c r="C44" s="24">
        <f>+'Tariffs Inputs'!$E$23</f>
        <v>1200</v>
      </c>
      <c r="D44" s="9">
        <f>'Tariffs Inputs'!$F$23*'Tariffs Inputs'!$S$23</f>
        <v>201000</v>
      </c>
      <c r="E44" s="24">
        <f>B44*'Tariffs Inputs'!$G$23</f>
        <v>132000</v>
      </c>
      <c r="F44" s="37">
        <f t="shared" si="13"/>
        <v>334200</v>
      </c>
      <c r="G44" s="30">
        <f>+'Tariffs Inputs'!$H$23</f>
        <v>1300</v>
      </c>
      <c r="H44" s="11">
        <f>'Tariffs Inputs'!$I$23*'Tariffs Inputs'!$S$23</f>
        <v>195000</v>
      </c>
      <c r="I44" s="30">
        <f>B44*'Tariffs Inputs'!$J$23</f>
        <v>147600</v>
      </c>
      <c r="J44" s="27">
        <f t="shared" si="14"/>
        <v>343900</v>
      </c>
      <c r="K44" s="77">
        <f t="shared" si="12"/>
        <v>9700</v>
      </c>
      <c r="L44" s="78">
        <f t="shared" si="15"/>
        <v>2.9024536205864752E-2</v>
      </c>
    </row>
    <row r="45" spans="2:12" x14ac:dyDescent="0.3">
      <c r="B45" s="71">
        <v>70000</v>
      </c>
      <c r="C45" s="24">
        <f>+'Tariffs Inputs'!$E$23</f>
        <v>1200</v>
      </c>
      <c r="D45" s="9">
        <f>'Tariffs Inputs'!$F$23*'Tariffs Inputs'!$S$23</f>
        <v>201000</v>
      </c>
      <c r="E45" s="24">
        <f>B45*'Tariffs Inputs'!$G$23</f>
        <v>154000</v>
      </c>
      <c r="F45" s="9">
        <f t="shared" si="13"/>
        <v>356200</v>
      </c>
      <c r="G45" s="30">
        <f>+'Tariffs Inputs'!$H$23</f>
        <v>1300</v>
      </c>
      <c r="H45" s="11">
        <f>'Tariffs Inputs'!$I$23*'Tariffs Inputs'!$S$23</f>
        <v>195000</v>
      </c>
      <c r="I45" s="30">
        <f>B45*'Tariffs Inputs'!$J$23</f>
        <v>172200</v>
      </c>
      <c r="J45" s="11">
        <f t="shared" si="14"/>
        <v>368500</v>
      </c>
      <c r="K45" s="75">
        <f t="shared" si="12"/>
        <v>12300</v>
      </c>
      <c r="L45" s="76">
        <f t="shared" si="15"/>
        <v>3.4531162268388545E-2</v>
      </c>
    </row>
    <row r="46" spans="2:12" x14ac:dyDescent="0.3">
      <c r="B46" s="72">
        <v>100000</v>
      </c>
      <c r="C46" s="24">
        <f>+'Tariffs Inputs'!$E$23</f>
        <v>1200</v>
      </c>
      <c r="D46" s="9">
        <f>'Tariffs Inputs'!$F$23*'Tariffs Inputs'!$S$23</f>
        <v>201000</v>
      </c>
      <c r="E46" s="24">
        <f>B46*'Tariffs Inputs'!$G$23</f>
        <v>220000.00000000003</v>
      </c>
      <c r="F46" s="37">
        <f t="shared" si="13"/>
        <v>422200</v>
      </c>
      <c r="G46" s="30">
        <f>+'Tariffs Inputs'!$H$23</f>
        <v>1300</v>
      </c>
      <c r="H46" s="11">
        <f>'Tariffs Inputs'!$I$23*'Tariffs Inputs'!$S$23</f>
        <v>195000</v>
      </c>
      <c r="I46" s="30">
        <f>B46*'Tariffs Inputs'!$J$23</f>
        <v>246000</v>
      </c>
      <c r="J46" s="27">
        <f t="shared" si="14"/>
        <v>442300</v>
      </c>
      <c r="K46" s="77">
        <f t="shared" si="12"/>
        <v>20100</v>
      </c>
      <c r="L46" s="78">
        <f t="shared" si="15"/>
        <v>4.7607768829938418E-2</v>
      </c>
    </row>
    <row r="47" spans="2:12" x14ac:dyDescent="0.3">
      <c r="B47" s="1"/>
      <c r="C47" s="2"/>
      <c r="D47" s="2"/>
      <c r="E47" s="2"/>
      <c r="F47" s="2"/>
      <c r="G47" s="2"/>
      <c r="H47" s="2"/>
      <c r="I47" s="2"/>
      <c r="J47" s="2"/>
      <c r="K47" s="3"/>
      <c r="L47" s="4"/>
    </row>
    <row r="49" spans="2:12" x14ac:dyDescent="0.3">
      <c r="C49" s="5" t="str">
        <f>'Tariffs Inputs'!C25&amp;" "&amp;'Tariffs Inputs'!D25&amp;" comparison"</f>
        <v>L Flat Tariff 12 comparison</v>
      </c>
    </row>
    <row r="50" spans="2:12" ht="28.8" x14ac:dyDescent="0.3">
      <c r="B50" s="63" t="s">
        <v>3</v>
      </c>
      <c r="C50" s="152" t="str">
        <f>'Tariffs Inputs'!F4</f>
        <v>Year 1</v>
      </c>
      <c r="D50" s="153"/>
      <c r="E50" s="153"/>
      <c r="F50" s="154"/>
      <c r="G50" s="152" t="str">
        <f>'Tariffs Inputs'!F6</f>
        <v>Year 2</v>
      </c>
      <c r="H50" s="153"/>
      <c r="I50" s="153"/>
      <c r="J50" s="154"/>
      <c r="K50" s="148" t="s">
        <v>64</v>
      </c>
      <c r="L50" s="149" t="s">
        <v>10</v>
      </c>
    </row>
    <row r="51" spans="2:12" ht="43.2" x14ac:dyDescent="0.3">
      <c r="B51" s="69" t="s">
        <v>1</v>
      </c>
      <c r="C51" s="53" t="s">
        <v>6</v>
      </c>
      <c r="D51" s="65" t="s">
        <v>25</v>
      </c>
      <c r="E51" s="53" t="s">
        <v>24</v>
      </c>
      <c r="F51" s="53" t="s">
        <v>2</v>
      </c>
      <c r="G51" s="53" t="s">
        <v>6</v>
      </c>
      <c r="H51" s="65" t="s">
        <v>25</v>
      </c>
      <c r="I51" s="53" t="s">
        <v>24</v>
      </c>
      <c r="J51" s="53" t="s">
        <v>2</v>
      </c>
      <c r="K51" s="148"/>
      <c r="L51" s="150"/>
    </row>
    <row r="52" spans="2:12" x14ac:dyDescent="0.3">
      <c r="B52" s="71">
        <v>20000</v>
      </c>
      <c r="C52" s="35">
        <f>+'Tariffs Inputs'!$E$25</f>
        <v>2457</v>
      </c>
      <c r="D52" s="37">
        <f>'Tariffs Inputs'!$F$25*'Tariffs Inputs'!$S$25</f>
        <v>422500</v>
      </c>
      <c r="E52" s="35">
        <f>+B52*'Tariffs Inputs'!$G$25</f>
        <v>42000</v>
      </c>
      <c r="F52" s="37">
        <f>+E52+D52+C52</f>
        <v>466957</v>
      </c>
      <c r="G52" s="46">
        <f>+'Tariffs Inputs'!$H$25</f>
        <v>2742</v>
      </c>
      <c r="H52" s="26">
        <f>'Tariffs Inputs'!$I$25*'Tariffs Inputs'!$S$25</f>
        <v>375000</v>
      </c>
      <c r="I52" s="46">
        <f>B52*'Tariffs Inputs'!$J$25</f>
        <v>42318.979152408305</v>
      </c>
      <c r="J52" s="27">
        <f>+I52+H52+G52</f>
        <v>420060.97915240831</v>
      </c>
      <c r="K52" s="77">
        <f t="shared" ref="K52:K58" si="16">+J52-F52</f>
        <v>-46896.020847591688</v>
      </c>
      <c r="L52" s="78">
        <f>+K52/F52</f>
        <v>-0.10042899206477618</v>
      </c>
    </row>
    <row r="53" spans="2:12" x14ac:dyDescent="0.3">
      <c r="B53" s="72">
        <v>30000</v>
      </c>
      <c r="C53" s="24">
        <f>+'Tariffs Inputs'!$E$25</f>
        <v>2457</v>
      </c>
      <c r="D53" s="9">
        <f>'Tariffs Inputs'!$F$25*'Tariffs Inputs'!$S$25</f>
        <v>422500</v>
      </c>
      <c r="E53" s="24">
        <f>B53*'Tariffs Inputs'!$G$25</f>
        <v>63000</v>
      </c>
      <c r="F53" s="9">
        <f t="shared" ref="F53:F58" si="17">+E53+D53+C53</f>
        <v>487957</v>
      </c>
      <c r="G53" s="30">
        <f>+'Tariffs Inputs'!$H$25</f>
        <v>2742</v>
      </c>
      <c r="H53" s="11">
        <f>'Tariffs Inputs'!$I$25*'Tariffs Inputs'!$S$25</f>
        <v>375000</v>
      </c>
      <c r="I53" s="30">
        <f>B53*'Tariffs Inputs'!$J$25</f>
        <v>63478.468728612461</v>
      </c>
      <c r="J53" s="11">
        <f t="shared" ref="J53:J58" si="18">+I53+H53+G53</f>
        <v>441220.46872861247</v>
      </c>
      <c r="K53" s="75">
        <f t="shared" si="16"/>
        <v>-46736.531271387532</v>
      </c>
      <c r="L53" s="76">
        <f t="shared" ref="L53:L58" si="19">+K53/F53</f>
        <v>-9.5780020107074051E-2</v>
      </c>
    </row>
    <row r="54" spans="2:12" x14ac:dyDescent="0.3">
      <c r="B54" s="71">
        <v>40000</v>
      </c>
      <c r="C54" s="24">
        <f>+'Tariffs Inputs'!$E$25</f>
        <v>2457</v>
      </c>
      <c r="D54" s="9">
        <f>'Tariffs Inputs'!$F$25*'Tariffs Inputs'!$S$25</f>
        <v>422500</v>
      </c>
      <c r="E54" s="24">
        <f>B54*'Tariffs Inputs'!$G$25</f>
        <v>84000</v>
      </c>
      <c r="F54" s="37">
        <f t="shared" si="17"/>
        <v>508957</v>
      </c>
      <c r="G54" s="30">
        <f>+'Tariffs Inputs'!$H$25</f>
        <v>2742</v>
      </c>
      <c r="H54" s="11">
        <f>'Tariffs Inputs'!$I$25*'Tariffs Inputs'!$S$25</f>
        <v>375000</v>
      </c>
      <c r="I54" s="30">
        <f>B54*'Tariffs Inputs'!$J$25</f>
        <v>84637.95830481661</v>
      </c>
      <c r="J54" s="27">
        <f t="shared" si="18"/>
        <v>462379.95830481662</v>
      </c>
      <c r="K54" s="77">
        <f t="shared" si="16"/>
        <v>-46577.041695183376</v>
      </c>
      <c r="L54" s="78">
        <f t="shared" si="19"/>
        <v>-9.151468924719254E-2</v>
      </c>
    </row>
    <row r="55" spans="2:12" x14ac:dyDescent="0.3">
      <c r="B55" s="72">
        <v>50000</v>
      </c>
      <c r="C55" s="24">
        <f>+'Tariffs Inputs'!$E$25</f>
        <v>2457</v>
      </c>
      <c r="D55" s="9">
        <f>'Tariffs Inputs'!$F$25*'Tariffs Inputs'!$S$25</f>
        <v>422500</v>
      </c>
      <c r="E55" s="24">
        <f>B55*'Tariffs Inputs'!$G$25</f>
        <v>105000</v>
      </c>
      <c r="F55" s="9">
        <f t="shared" si="17"/>
        <v>529957</v>
      </c>
      <c r="G55" s="30">
        <f>+'Tariffs Inputs'!$H$25</f>
        <v>2742</v>
      </c>
      <c r="H55" s="11">
        <f>'Tariffs Inputs'!$I$25*'Tariffs Inputs'!$S$25</f>
        <v>375000</v>
      </c>
      <c r="I55" s="30">
        <f>B55*'Tariffs Inputs'!$J$25</f>
        <v>105797.44788102077</v>
      </c>
      <c r="J55" s="11">
        <f t="shared" si="18"/>
        <v>483539.44788102078</v>
      </c>
      <c r="K55" s="75">
        <f t="shared" si="16"/>
        <v>-46417.55211897922</v>
      </c>
      <c r="L55" s="76">
        <f t="shared" si="19"/>
        <v>-8.7587393163934477E-2</v>
      </c>
    </row>
    <row r="56" spans="2:12" x14ac:dyDescent="0.3">
      <c r="B56" s="71">
        <v>60000</v>
      </c>
      <c r="C56" s="24">
        <f>+'Tariffs Inputs'!$E$25</f>
        <v>2457</v>
      </c>
      <c r="D56" s="9">
        <f>'Tariffs Inputs'!$F$25*'Tariffs Inputs'!$S$25</f>
        <v>422500</v>
      </c>
      <c r="E56" s="24">
        <f>B56*'Tariffs Inputs'!$G$25</f>
        <v>126000</v>
      </c>
      <c r="F56" s="37">
        <f t="shared" si="17"/>
        <v>550957</v>
      </c>
      <c r="G56" s="30">
        <f>+'Tariffs Inputs'!$H$25</f>
        <v>2742</v>
      </c>
      <c r="H56" s="11">
        <f>'Tariffs Inputs'!$I$25*'Tariffs Inputs'!$S$25</f>
        <v>375000</v>
      </c>
      <c r="I56" s="30">
        <f>B56*'Tariffs Inputs'!$J$25</f>
        <v>126956.93745722492</v>
      </c>
      <c r="J56" s="27">
        <f t="shared" si="18"/>
        <v>504698.93745722494</v>
      </c>
      <c r="K56" s="77">
        <f t="shared" si="16"/>
        <v>-46258.062542775064</v>
      </c>
      <c r="L56" s="78">
        <f t="shared" si="19"/>
        <v>-8.3959478766537254E-2</v>
      </c>
    </row>
    <row r="57" spans="2:12" x14ac:dyDescent="0.3">
      <c r="B57" s="71">
        <v>70000</v>
      </c>
      <c r="C57" s="24">
        <f>+'Tariffs Inputs'!$E$25</f>
        <v>2457</v>
      </c>
      <c r="D57" s="9">
        <f>'Tariffs Inputs'!$F$25*'Tariffs Inputs'!$S$25</f>
        <v>422500</v>
      </c>
      <c r="E57" s="24">
        <f>B57*'Tariffs Inputs'!$G$25</f>
        <v>147000</v>
      </c>
      <c r="F57" s="9">
        <f t="shared" si="17"/>
        <v>571957</v>
      </c>
      <c r="G57" s="30">
        <f>+'Tariffs Inputs'!$H$25</f>
        <v>2742</v>
      </c>
      <c r="H57" s="11">
        <f>'Tariffs Inputs'!$I$25*'Tariffs Inputs'!$S$25</f>
        <v>375000</v>
      </c>
      <c r="I57" s="30">
        <f>B57*'Tariffs Inputs'!$J$25</f>
        <v>148116.42703342906</v>
      </c>
      <c r="J57" s="11">
        <f t="shared" si="18"/>
        <v>525858.42703342903</v>
      </c>
      <c r="K57" s="75">
        <f t="shared" si="16"/>
        <v>-46098.572966570966</v>
      </c>
      <c r="L57" s="76">
        <f t="shared" si="19"/>
        <v>-8.0597969719001544E-2</v>
      </c>
    </row>
    <row r="58" spans="2:12" x14ac:dyDescent="0.3">
      <c r="B58" s="72">
        <v>100000</v>
      </c>
      <c r="C58" s="24">
        <f>+'Tariffs Inputs'!$E$25</f>
        <v>2457</v>
      </c>
      <c r="D58" s="9">
        <f>'Tariffs Inputs'!$F$25*'Tariffs Inputs'!$S$25</f>
        <v>422500</v>
      </c>
      <c r="E58" s="24">
        <f>B58*'Tariffs Inputs'!$G$25</f>
        <v>210000</v>
      </c>
      <c r="F58" s="37">
        <f t="shared" si="17"/>
        <v>634957</v>
      </c>
      <c r="G58" s="30">
        <f>+'Tariffs Inputs'!$H$25</f>
        <v>2742</v>
      </c>
      <c r="H58" s="11">
        <f>'Tariffs Inputs'!$I$25*'Tariffs Inputs'!$S$25</f>
        <v>375000</v>
      </c>
      <c r="I58" s="30">
        <f>B58*'Tariffs Inputs'!$J$25</f>
        <v>211594.89576204153</v>
      </c>
      <c r="J58" s="47">
        <f t="shared" si="18"/>
        <v>589336.89576204156</v>
      </c>
      <c r="K58" s="77">
        <f t="shared" si="16"/>
        <v>-45620.10423795844</v>
      </c>
      <c r="L58" s="78">
        <f t="shared" si="19"/>
        <v>-7.1847549106409475E-2</v>
      </c>
    </row>
    <row r="59" spans="2:12" x14ac:dyDescent="0.3">
      <c r="B59" s="1"/>
      <c r="C59" s="2"/>
      <c r="D59" s="2"/>
      <c r="E59" s="2"/>
      <c r="F59" s="2"/>
      <c r="G59" s="2"/>
      <c r="H59" s="2"/>
      <c r="I59" s="95"/>
      <c r="J59" s="96"/>
      <c r="K59" s="3"/>
      <c r="L59" s="4"/>
    </row>
    <row r="61" spans="2:12" x14ac:dyDescent="0.3">
      <c r="C61" s="5" t="str">
        <f>'Tariffs Inputs'!C26&amp;" "&amp;'Tariffs Inputs'!D26&amp;" comparison"</f>
        <v>M Flat Tariff 13 comparison</v>
      </c>
    </row>
    <row r="62" spans="2:12" ht="28.8" x14ac:dyDescent="0.3">
      <c r="B62" s="63" t="s">
        <v>3</v>
      </c>
      <c r="C62" s="152" t="str">
        <f>'Tariffs Inputs'!F4</f>
        <v>Year 1</v>
      </c>
      <c r="D62" s="153"/>
      <c r="E62" s="153"/>
      <c r="F62" s="154"/>
      <c r="G62" s="152" t="str">
        <f>'Tariffs Inputs'!F6</f>
        <v>Year 2</v>
      </c>
      <c r="H62" s="153"/>
      <c r="I62" s="153"/>
      <c r="J62" s="154"/>
      <c r="K62" s="148" t="s">
        <v>64</v>
      </c>
      <c r="L62" s="149" t="s">
        <v>10</v>
      </c>
    </row>
    <row r="63" spans="2:12" ht="43.2" x14ac:dyDescent="0.3">
      <c r="B63" s="69" t="s">
        <v>1</v>
      </c>
      <c r="C63" s="53" t="s">
        <v>6</v>
      </c>
      <c r="D63" s="65" t="s">
        <v>25</v>
      </c>
      <c r="E63" s="53" t="s">
        <v>24</v>
      </c>
      <c r="F63" s="53" t="s">
        <v>2</v>
      </c>
      <c r="G63" s="53" t="s">
        <v>6</v>
      </c>
      <c r="H63" s="65" t="s">
        <v>25</v>
      </c>
      <c r="I63" s="53" t="s">
        <v>24</v>
      </c>
      <c r="J63" s="53" t="s">
        <v>2</v>
      </c>
      <c r="K63" s="148"/>
      <c r="L63" s="150"/>
    </row>
    <row r="64" spans="2:12" x14ac:dyDescent="0.3">
      <c r="B64" s="71">
        <v>20000</v>
      </c>
      <c r="C64" s="35">
        <f>+'Tariffs Inputs'!$E$26</f>
        <v>2673</v>
      </c>
      <c r="D64" s="37">
        <f>'Tariffs Inputs'!$F$26*'Tariffs Inputs'!$S$26</f>
        <v>417200</v>
      </c>
      <c r="E64" s="35">
        <f>+B64*'Tariffs Inputs'!$G$26</f>
        <v>50000</v>
      </c>
      <c r="F64" s="37">
        <f>+E64+D64+C64</f>
        <v>469873</v>
      </c>
      <c r="G64" s="46">
        <f>+'Tariffs Inputs'!$H$26</f>
        <v>2680</v>
      </c>
      <c r="H64" s="26">
        <f>'Tariffs Inputs'!$I$26*'Tariffs Inputs'!$S$26</f>
        <v>456400</v>
      </c>
      <c r="I64" s="46">
        <f>B64*'Tariffs Inputs'!$J$26</f>
        <v>54000</v>
      </c>
      <c r="J64" s="27">
        <f>+I64+H64+G64</f>
        <v>513080</v>
      </c>
      <c r="K64" s="77">
        <f t="shared" ref="K64:K70" si="20">+J64-F64</f>
        <v>43207</v>
      </c>
      <c r="L64" s="78">
        <f>+K64/F64</f>
        <v>9.1954634550186959E-2</v>
      </c>
    </row>
    <row r="65" spans="2:12" x14ac:dyDescent="0.3">
      <c r="B65" s="72">
        <v>30000</v>
      </c>
      <c r="C65" s="24">
        <f>+'Tariffs Inputs'!$E$26</f>
        <v>2673</v>
      </c>
      <c r="D65" s="9">
        <f>'Tariffs Inputs'!$F$26*'Tariffs Inputs'!$S$26</f>
        <v>417200</v>
      </c>
      <c r="E65" s="24">
        <f>B65*'Tariffs Inputs'!$G$26</f>
        <v>75000</v>
      </c>
      <c r="F65" s="9">
        <f t="shared" ref="F65:F70" si="21">+E65+D65+C65</f>
        <v>494873</v>
      </c>
      <c r="G65" s="30">
        <f>+'Tariffs Inputs'!$H$26</f>
        <v>2680</v>
      </c>
      <c r="H65" s="11">
        <f>'Tariffs Inputs'!$I$26*'Tariffs Inputs'!$S$26</f>
        <v>456400</v>
      </c>
      <c r="I65" s="30">
        <f>B65*'Tariffs Inputs'!$J$26</f>
        <v>81000</v>
      </c>
      <c r="J65" s="11">
        <f t="shared" ref="J65:J70" si="22">+I65+H65+G65</f>
        <v>540080</v>
      </c>
      <c r="K65" s="75">
        <f t="shared" si="20"/>
        <v>45207</v>
      </c>
      <c r="L65" s="76">
        <f t="shared" ref="L65:L70" si="23">+K65/F65</f>
        <v>9.1350710182208361E-2</v>
      </c>
    </row>
    <row r="66" spans="2:12" x14ac:dyDescent="0.3">
      <c r="B66" s="71">
        <v>40000</v>
      </c>
      <c r="C66" s="24">
        <f>+'Tariffs Inputs'!$E$26</f>
        <v>2673</v>
      </c>
      <c r="D66" s="9">
        <f>'Tariffs Inputs'!$F$26*'Tariffs Inputs'!$S$26</f>
        <v>417200</v>
      </c>
      <c r="E66" s="24">
        <f>B66*'Tariffs Inputs'!$G$26</f>
        <v>100000</v>
      </c>
      <c r="F66" s="37">
        <f t="shared" si="21"/>
        <v>519873</v>
      </c>
      <c r="G66" s="30">
        <f>+'Tariffs Inputs'!$H$26</f>
        <v>2680</v>
      </c>
      <c r="H66" s="11">
        <f>'Tariffs Inputs'!$I$26*'Tariffs Inputs'!$S$26</f>
        <v>456400</v>
      </c>
      <c r="I66" s="30">
        <f>B66*'Tariffs Inputs'!$J$26</f>
        <v>108000</v>
      </c>
      <c r="J66" s="27">
        <f t="shared" si="22"/>
        <v>567080</v>
      </c>
      <c r="K66" s="77">
        <f t="shared" si="20"/>
        <v>47207</v>
      </c>
      <c r="L66" s="78">
        <f t="shared" si="23"/>
        <v>9.0804869650857031E-2</v>
      </c>
    </row>
    <row r="67" spans="2:12" x14ac:dyDescent="0.3">
      <c r="B67" s="72">
        <v>50000</v>
      </c>
      <c r="C67" s="24">
        <f>+'Tariffs Inputs'!$E$26</f>
        <v>2673</v>
      </c>
      <c r="D67" s="9">
        <f>'Tariffs Inputs'!$F$26*'Tariffs Inputs'!$S$26</f>
        <v>417200</v>
      </c>
      <c r="E67" s="24">
        <f>B67*'Tariffs Inputs'!$G$26</f>
        <v>125000</v>
      </c>
      <c r="F67" s="9">
        <f t="shared" si="21"/>
        <v>544873</v>
      </c>
      <c r="G67" s="30">
        <f>+'Tariffs Inputs'!$H$26</f>
        <v>2680</v>
      </c>
      <c r="H67" s="11">
        <f>'Tariffs Inputs'!$I$26*'Tariffs Inputs'!$S$26</f>
        <v>456400</v>
      </c>
      <c r="I67" s="30">
        <f>B67*'Tariffs Inputs'!$J$26</f>
        <v>135000</v>
      </c>
      <c r="J67" s="11">
        <f t="shared" si="22"/>
        <v>594080</v>
      </c>
      <c r="K67" s="75">
        <f t="shared" si="20"/>
        <v>49207</v>
      </c>
      <c r="L67" s="76">
        <f t="shared" si="23"/>
        <v>9.0309117904539229E-2</v>
      </c>
    </row>
    <row r="68" spans="2:12" x14ac:dyDescent="0.3">
      <c r="B68" s="71">
        <v>60000</v>
      </c>
      <c r="C68" s="24">
        <f>+'Tariffs Inputs'!$E$26</f>
        <v>2673</v>
      </c>
      <c r="D68" s="9">
        <f>'Tariffs Inputs'!$F$26*'Tariffs Inputs'!$S$26</f>
        <v>417200</v>
      </c>
      <c r="E68" s="24">
        <f>B68*'Tariffs Inputs'!$G$26</f>
        <v>150000</v>
      </c>
      <c r="F68" s="37">
        <f t="shared" si="21"/>
        <v>569873</v>
      </c>
      <c r="G68" s="30">
        <f>+'Tariffs Inputs'!$H$26</f>
        <v>2680</v>
      </c>
      <c r="H68" s="11">
        <f>'Tariffs Inputs'!$I$26*'Tariffs Inputs'!$S$26</f>
        <v>456400</v>
      </c>
      <c r="I68" s="30">
        <f>B68*'Tariffs Inputs'!$J$26</f>
        <v>162000</v>
      </c>
      <c r="J68" s="27">
        <f t="shared" si="22"/>
        <v>621080</v>
      </c>
      <c r="K68" s="77">
        <f t="shared" si="20"/>
        <v>51207</v>
      </c>
      <c r="L68" s="78">
        <f t="shared" si="23"/>
        <v>8.9856862844879468E-2</v>
      </c>
    </row>
    <row r="69" spans="2:12" x14ac:dyDescent="0.3">
      <c r="B69" s="71">
        <v>70000</v>
      </c>
      <c r="C69" s="24">
        <f>+'Tariffs Inputs'!$E$26</f>
        <v>2673</v>
      </c>
      <c r="D69" s="9">
        <f>'Tariffs Inputs'!$F$26*'Tariffs Inputs'!$S$26</f>
        <v>417200</v>
      </c>
      <c r="E69" s="24">
        <f>B69*'Tariffs Inputs'!$G$26</f>
        <v>175000</v>
      </c>
      <c r="F69" s="9">
        <f t="shared" si="21"/>
        <v>594873</v>
      </c>
      <c r="G69" s="30">
        <f>+'Tariffs Inputs'!$H$26</f>
        <v>2680</v>
      </c>
      <c r="H69" s="11">
        <f>'Tariffs Inputs'!$I$26*'Tariffs Inputs'!$S$26</f>
        <v>456400</v>
      </c>
      <c r="I69" s="30">
        <f>B69*'Tariffs Inputs'!$J$26</f>
        <v>189000</v>
      </c>
      <c r="J69" s="11">
        <f t="shared" si="22"/>
        <v>648080</v>
      </c>
      <c r="K69" s="75">
        <f t="shared" si="20"/>
        <v>53207</v>
      </c>
      <c r="L69" s="76">
        <f t="shared" si="23"/>
        <v>8.9442620525725658E-2</v>
      </c>
    </row>
    <row r="70" spans="2:12" x14ac:dyDescent="0.3">
      <c r="B70" s="72">
        <v>100000</v>
      </c>
      <c r="C70" s="24">
        <f>+'Tariffs Inputs'!$E$26</f>
        <v>2673</v>
      </c>
      <c r="D70" s="9">
        <f>'Tariffs Inputs'!$F$26*'Tariffs Inputs'!$S$26</f>
        <v>417200</v>
      </c>
      <c r="E70" s="24">
        <f>B70*'Tariffs Inputs'!$G$26</f>
        <v>250000</v>
      </c>
      <c r="F70" s="37">
        <f t="shared" si="21"/>
        <v>669873</v>
      </c>
      <c r="G70" s="30">
        <f>+'Tariffs Inputs'!$H$26</f>
        <v>2680</v>
      </c>
      <c r="H70" s="11">
        <f>'Tariffs Inputs'!$I$26*'Tariffs Inputs'!$S$26</f>
        <v>456400</v>
      </c>
      <c r="I70" s="30">
        <f>B70*'Tariffs Inputs'!$J$26</f>
        <v>270000</v>
      </c>
      <c r="J70" s="47">
        <f t="shared" si="22"/>
        <v>729080</v>
      </c>
      <c r="K70" s="77">
        <f t="shared" si="20"/>
        <v>59207</v>
      </c>
      <c r="L70" s="78">
        <f t="shared" si="23"/>
        <v>8.8385410368831102E-2</v>
      </c>
    </row>
    <row r="71" spans="2:12" x14ac:dyDescent="0.3">
      <c r="B71" s="1"/>
      <c r="C71" s="2"/>
      <c r="D71" s="2"/>
      <c r="E71" s="2"/>
      <c r="F71" s="2"/>
      <c r="G71" s="2"/>
      <c r="H71" s="2"/>
      <c r="I71" s="95"/>
      <c r="J71" s="96"/>
      <c r="K71" s="3"/>
      <c r="L71" s="4"/>
    </row>
  </sheetData>
  <mergeCells count="24">
    <mergeCell ref="C50:F50"/>
    <mergeCell ref="G50:J50"/>
    <mergeCell ref="K50:K51"/>
    <mergeCell ref="L50:L51"/>
    <mergeCell ref="C62:F62"/>
    <mergeCell ref="G62:J62"/>
    <mergeCell ref="K62:K63"/>
    <mergeCell ref="L62:L63"/>
    <mergeCell ref="C38:F38"/>
    <mergeCell ref="G38:J38"/>
    <mergeCell ref="K38:K39"/>
    <mergeCell ref="L38:L39"/>
    <mergeCell ref="K2:K3"/>
    <mergeCell ref="L2:L3"/>
    <mergeCell ref="K14:K15"/>
    <mergeCell ref="L14:L15"/>
    <mergeCell ref="K26:K27"/>
    <mergeCell ref="L26:L27"/>
    <mergeCell ref="C26:F26"/>
    <mergeCell ref="G26:J26"/>
    <mergeCell ref="C14:F14"/>
    <mergeCell ref="G14:J14"/>
    <mergeCell ref="C2:F2"/>
    <mergeCell ref="G2:J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6282-EB04-4600-9005-8DB990521A61}">
  <sheetPr>
    <tabColor theme="0" tint="-0.499984740745262"/>
  </sheetPr>
  <dimension ref="A1:Q121"/>
  <sheetViews>
    <sheetView showGridLines="0" zoomScale="70" zoomScaleNormal="70" workbookViewId="0">
      <selection activeCell="J2" sqref="J2"/>
    </sheetView>
  </sheetViews>
  <sheetFormatPr defaultRowHeight="14.4" x14ac:dyDescent="0.3"/>
  <cols>
    <col min="1" max="1" width="1.77734375" customWidth="1"/>
    <col min="3" max="3" width="12.77734375" customWidth="1"/>
    <col min="4" max="4" width="11" customWidth="1"/>
    <col min="5" max="5" width="10.77734375" customWidth="1"/>
    <col min="6" max="6" width="11.109375" customWidth="1"/>
    <col min="7" max="7" width="11.33203125" customWidth="1"/>
    <col min="8" max="8" width="11.6640625" customWidth="1"/>
    <col min="9" max="9" width="10.5546875" customWidth="1"/>
    <col min="10" max="10" width="11.6640625" customWidth="1"/>
    <col min="11" max="11" width="14.21875" customWidth="1"/>
    <col min="12" max="12" width="13.88671875" customWidth="1"/>
    <col min="13" max="13" width="12.5546875" customWidth="1"/>
    <col min="14" max="14" width="11.21875" customWidth="1"/>
    <col min="15" max="15" width="11.44140625" customWidth="1"/>
    <col min="16" max="16" width="15" customWidth="1"/>
  </cols>
  <sheetData>
    <row r="1" spans="2:17" ht="14.4" customHeight="1" x14ac:dyDescent="0.3">
      <c r="C1" s="133"/>
      <c r="D1" s="134"/>
      <c r="E1" s="134"/>
      <c r="F1" s="236" t="s">
        <v>110</v>
      </c>
      <c r="G1" s="236"/>
      <c r="H1" s="52" t="s">
        <v>37</v>
      </c>
      <c r="I1" s="52" t="s">
        <v>38</v>
      </c>
      <c r="J1" s="49" t="s">
        <v>109</v>
      </c>
    </row>
    <row r="2" spans="2:17" x14ac:dyDescent="0.3">
      <c r="B2" s="6"/>
      <c r="C2" s="135" t="str">
        <f>"Low Season "&amp;'Tariffs Inputs'!C33&amp;" "&amp;'Tariffs Inputs'!D33&amp;" comparison"</f>
        <v>Low Season A TOU Tariff 1 comparison</v>
      </c>
      <c r="D2" s="6"/>
      <c r="E2" s="6"/>
      <c r="F2" s="237"/>
      <c r="G2" s="237"/>
      <c r="H2" s="136">
        <v>0.15</v>
      </c>
      <c r="I2" s="132">
        <v>0.35</v>
      </c>
      <c r="J2" s="137">
        <f>100%-(H2+I2)</f>
        <v>0.5</v>
      </c>
      <c r="K2" s="6"/>
      <c r="L2" s="6"/>
      <c r="M2" s="6"/>
      <c r="N2" s="6"/>
      <c r="O2" s="6"/>
      <c r="P2" s="6"/>
    </row>
    <row r="3" spans="2:17" ht="26.4" customHeight="1" x14ac:dyDescent="0.3">
      <c r="B3" s="63" t="s">
        <v>3</v>
      </c>
      <c r="C3" s="144" t="str">
        <f>'Tariffs Inputs'!F4&amp; " Low Season"</f>
        <v>Year 1 Low Season</v>
      </c>
      <c r="D3" s="145"/>
      <c r="E3" s="145"/>
      <c r="F3" s="145"/>
      <c r="G3" s="145"/>
      <c r="H3" s="146"/>
      <c r="I3" s="152" t="str">
        <f>'Tariffs Inputs'!F6&amp;" Low Season"</f>
        <v>Year 2 Low Season</v>
      </c>
      <c r="J3" s="153"/>
      <c r="K3" s="153"/>
      <c r="L3" s="153"/>
      <c r="M3" s="153"/>
      <c r="N3" s="154"/>
      <c r="O3" s="148" t="s">
        <v>9</v>
      </c>
      <c r="P3" s="151" t="s">
        <v>10</v>
      </c>
    </row>
    <row r="4" spans="2:17" ht="48" customHeight="1" x14ac:dyDescent="0.3">
      <c r="B4" s="69" t="s">
        <v>1</v>
      </c>
      <c r="C4" s="53" t="s">
        <v>6</v>
      </c>
      <c r="D4" s="65" t="s">
        <v>25</v>
      </c>
      <c r="E4" s="53" t="s">
        <v>106</v>
      </c>
      <c r="F4" s="53" t="s">
        <v>107</v>
      </c>
      <c r="G4" s="53" t="s">
        <v>108</v>
      </c>
      <c r="H4" s="53" t="s">
        <v>2</v>
      </c>
      <c r="I4" s="53" t="s">
        <v>6</v>
      </c>
      <c r="J4" s="65" t="s">
        <v>25</v>
      </c>
      <c r="K4" s="53" t="s">
        <v>106</v>
      </c>
      <c r="L4" s="53" t="s">
        <v>107</v>
      </c>
      <c r="M4" s="53" t="s">
        <v>108</v>
      </c>
      <c r="N4" s="65" t="s">
        <v>2</v>
      </c>
      <c r="O4" s="238"/>
      <c r="P4" s="150"/>
    </row>
    <row r="5" spans="2:17" x14ac:dyDescent="0.3">
      <c r="B5" s="71">
        <v>600</v>
      </c>
      <c r="C5" s="9">
        <f>'Tariffs Inputs'!$E$33</f>
        <v>3</v>
      </c>
      <c r="D5" s="24">
        <f>'Tariffs Inputs'!$F$33*'Tariffs Inputs'!$AA$33</f>
        <v>0</v>
      </c>
      <c r="E5" s="9">
        <f>B5*$H$2*'Tariffs Inputs'!$G$33</f>
        <v>234</v>
      </c>
      <c r="F5" s="9">
        <f>B5*$I$2*'Tariffs Inputs'!$H$33</f>
        <v>210</v>
      </c>
      <c r="G5" s="9">
        <f>B5*$J$2*'Tariffs Inputs'!$I$33</f>
        <v>225</v>
      </c>
      <c r="H5" s="51">
        <f>SUM(C5:G5)</f>
        <v>672</v>
      </c>
      <c r="I5" s="11">
        <f>'Tariffs Inputs'!$O$33</f>
        <v>0</v>
      </c>
      <c r="J5" s="30">
        <f>'Tariffs Inputs'!$P$33*'Tariffs Inputs'!$AA$33</f>
        <v>0</v>
      </c>
      <c r="K5" s="11">
        <f>B5*$H$2*'Tariffs Inputs'!$Q$33</f>
        <v>180</v>
      </c>
      <c r="L5" s="11">
        <f>B5*$I$2*'Tariffs Inputs'!$R$33</f>
        <v>420</v>
      </c>
      <c r="M5" s="11">
        <f>B5*$J$2*'Tariffs Inputs'!$S$33</f>
        <v>261</v>
      </c>
      <c r="N5" s="28">
        <f>SUM(I5:M5)</f>
        <v>861</v>
      </c>
      <c r="O5" s="75">
        <f>+N5-H5</f>
        <v>189</v>
      </c>
      <c r="P5" s="76">
        <f>+O5/H5</f>
        <v>0.28125</v>
      </c>
    </row>
    <row r="6" spans="2:17" x14ac:dyDescent="0.3">
      <c r="B6" s="72">
        <v>700</v>
      </c>
      <c r="C6" s="9">
        <f>'Tariffs Inputs'!$E$33</f>
        <v>3</v>
      </c>
      <c r="D6" s="24">
        <f>'Tariffs Inputs'!$F$33*'Tariffs Inputs'!$AA$33</f>
        <v>0</v>
      </c>
      <c r="E6" s="9">
        <f>B6*$H$2*'Tariffs Inputs'!$G$33</f>
        <v>273</v>
      </c>
      <c r="F6" s="9">
        <f>B6*$I$2*'Tariffs Inputs'!$H$33</f>
        <v>244.99999999999997</v>
      </c>
      <c r="G6" s="9">
        <f>B6*$J$2*'Tariffs Inputs'!$I$33</f>
        <v>262.5</v>
      </c>
      <c r="H6" s="51">
        <f t="shared" ref="H6:H9" si="0">SUM(C6:G6)</f>
        <v>783.5</v>
      </c>
      <c r="I6" s="11">
        <f>'Tariffs Inputs'!$O$33</f>
        <v>0</v>
      </c>
      <c r="J6" s="30">
        <f>'Tariffs Inputs'!$P$33*'Tariffs Inputs'!$AA$33</f>
        <v>0</v>
      </c>
      <c r="K6" s="11">
        <f>B6*$H$2*'Tariffs Inputs'!$Q$33</f>
        <v>210</v>
      </c>
      <c r="L6" s="11">
        <f>B6*$I$2*'Tariffs Inputs'!$R$33</f>
        <v>489.99999999999994</v>
      </c>
      <c r="M6" s="11">
        <f>B6*$J$2*'Tariffs Inputs'!$S$33</f>
        <v>304.5</v>
      </c>
      <c r="N6" s="28">
        <f t="shared" ref="N6:N9" si="1">SUM(I6:M6)</f>
        <v>1004.5</v>
      </c>
      <c r="O6" s="77">
        <f>+N6-H6</f>
        <v>221</v>
      </c>
      <c r="P6" s="79">
        <f>+O6/H6</f>
        <v>0.28206764518187621</v>
      </c>
    </row>
    <row r="7" spans="2:17" x14ac:dyDescent="0.3">
      <c r="B7" s="71">
        <v>800</v>
      </c>
      <c r="C7" s="9">
        <f>'Tariffs Inputs'!$E$33</f>
        <v>3</v>
      </c>
      <c r="D7" s="24">
        <f>'Tariffs Inputs'!$F$33*'Tariffs Inputs'!$AA$33</f>
        <v>0</v>
      </c>
      <c r="E7" s="9">
        <f>B7*$H$2*'Tariffs Inputs'!$G$33</f>
        <v>312</v>
      </c>
      <c r="F7" s="9">
        <f>B7*$I$2*'Tariffs Inputs'!$H$33</f>
        <v>280</v>
      </c>
      <c r="G7" s="9">
        <f>B7*$J$2*'Tariffs Inputs'!$I$33</f>
        <v>300</v>
      </c>
      <c r="H7" s="51">
        <f t="shared" si="0"/>
        <v>895</v>
      </c>
      <c r="I7" s="11">
        <f>'Tariffs Inputs'!$O$33</f>
        <v>0</v>
      </c>
      <c r="J7" s="30">
        <f>'Tariffs Inputs'!$P$33*'Tariffs Inputs'!$AA$33</f>
        <v>0</v>
      </c>
      <c r="K7" s="11">
        <f>B7*$H$2*'Tariffs Inputs'!$Q$33</f>
        <v>240</v>
      </c>
      <c r="L7" s="11">
        <f>B7*$I$2*'Tariffs Inputs'!$R$33</f>
        <v>560</v>
      </c>
      <c r="M7" s="11">
        <f>B7*$J$2*'Tariffs Inputs'!$S$33</f>
        <v>348</v>
      </c>
      <c r="N7" s="28">
        <f t="shared" si="1"/>
        <v>1148</v>
      </c>
      <c r="O7" s="75">
        <f>+N7-H7</f>
        <v>253</v>
      </c>
      <c r="P7" s="76">
        <f>+O7/H7</f>
        <v>0.28268156424581004</v>
      </c>
    </row>
    <row r="8" spans="2:17" x14ac:dyDescent="0.3">
      <c r="B8" s="72">
        <v>900</v>
      </c>
      <c r="C8" s="9">
        <f>'Tariffs Inputs'!$E$33</f>
        <v>3</v>
      </c>
      <c r="D8" s="24">
        <f>'Tariffs Inputs'!$F$33*'Tariffs Inputs'!$AA$33</f>
        <v>0</v>
      </c>
      <c r="E8" s="9">
        <f>B8*$H$2*'Tariffs Inputs'!$G$33</f>
        <v>351</v>
      </c>
      <c r="F8" s="9">
        <f>B8*$I$2*'Tariffs Inputs'!$H$33</f>
        <v>315</v>
      </c>
      <c r="G8" s="9">
        <f>B8*$J$2*'Tariffs Inputs'!$I$33</f>
        <v>337.5</v>
      </c>
      <c r="H8" s="51">
        <f t="shared" si="0"/>
        <v>1006.5</v>
      </c>
      <c r="I8" s="11">
        <f>'Tariffs Inputs'!$O$33</f>
        <v>0</v>
      </c>
      <c r="J8" s="30">
        <f>'Tariffs Inputs'!$P$33*'Tariffs Inputs'!$AA$33</f>
        <v>0</v>
      </c>
      <c r="K8" s="11">
        <f>B8*$H$2*'Tariffs Inputs'!$Q$33</f>
        <v>270</v>
      </c>
      <c r="L8" s="11">
        <f>B8*$I$2*'Tariffs Inputs'!$R$33</f>
        <v>630</v>
      </c>
      <c r="M8" s="11">
        <f>B8*$J$2*'Tariffs Inputs'!$S$33</f>
        <v>391.5</v>
      </c>
      <c r="N8" s="28">
        <f t="shared" si="1"/>
        <v>1291.5</v>
      </c>
      <c r="O8" s="77">
        <f>+N8-H8</f>
        <v>285</v>
      </c>
      <c r="P8" s="79">
        <f>+O8/H8</f>
        <v>0.28315946348733234</v>
      </c>
    </row>
    <row r="9" spans="2:17" x14ac:dyDescent="0.3">
      <c r="B9" s="71">
        <v>1000</v>
      </c>
      <c r="C9" s="9">
        <f>'Tariffs Inputs'!$E$33</f>
        <v>3</v>
      </c>
      <c r="D9" s="24">
        <f>'Tariffs Inputs'!$F$33*'Tariffs Inputs'!$AA$33</f>
        <v>0</v>
      </c>
      <c r="E9" s="9">
        <f>B9*$H$2*'Tariffs Inputs'!$G$33</f>
        <v>390</v>
      </c>
      <c r="F9" s="9">
        <f>B9*$I$2*'Tariffs Inputs'!$H$33</f>
        <v>350</v>
      </c>
      <c r="G9" s="9">
        <f>B9*$J$2*'Tariffs Inputs'!$I$33</f>
        <v>375</v>
      </c>
      <c r="H9" s="51">
        <f t="shared" si="0"/>
        <v>1118</v>
      </c>
      <c r="I9" s="11">
        <f>'Tariffs Inputs'!$O$33</f>
        <v>0</v>
      </c>
      <c r="J9" s="30">
        <f>'Tariffs Inputs'!$P$33*'Tariffs Inputs'!$AA$33</f>
        <v>0</v>
      </c>
      <c r="K9" s="11">
        <f>B9*$H$2*'Tariffs Inputs'!$Q$33</f>
        <v>300</v>
      </c>
      <c r="L9" s="11">
        <f>B9*$I$2*'Tariffs Inputs'!$R$33</f>
        <v>700</v>
      </c>
      <c r="M9" s="11">
        <f>B9*$J$2*'Tariffs Inputs'!$S$33</f>
        <v>435</v>
      </c>
      <c r="N9" s="28">
        <f t="shared" si="1"/>
        <v>1435</v>
      </c>
      <c r="O9" s="75">
        <f>+N9-H9</f>
        <v>317</v>
      </c>
      <c r="P9" s="76">
        <f>+O9/H9</f>
        <v>0.28354203935599287</v>
      </c>
    </row>
    <row r="10" spans="2:17" x14ac:dyDescent="0.3">
      <c r="B10" s="1"/>
      <c r="C10" s="2"/>
      <c r="D10" s="2"/>
      <c r="E10" s="2"/>
      <c r="F10" s="2"/>
      <c r="G10" s="2"/>
      <c r="H10" s="2"/>
      <c r="I10" s="2"/>
      <c r="J10" s="2"/>
      <c r="K10" s="3"/>
      <c r="L10" s="4"/>
      <c r="M10" s="4"/>
      <c r="N10" s="4"/>
      <c r="O10" s="4"/>
      <c r="P10" s="67"/>
    </row>
    <row r="12" spans="2:17" ht="14.4" customHeight="1" x14ac:dyDescent="0.3">
      <c r="C12" s="133"/>
      <c r="D12" s="134"/>
      <c r="E12" s="134"/>
      <c r="F12" s="236" t="s">
        <v>110</v>
      </c>
      <c r="G12" s="236"/>
      <c r="H12" s="52" t="s">
        <v>37</v>
      </c>
      <c r="I12" s="52" t="s">
        <v>38</v>
      </c>
      <c r="J12" s="49" t="s">
        <v>109</v>
      </c>
    </row>
    <row r="13" spans="2:17" x14ac:dyDescent="0.3">
      <c r="B13" s="6"/>
      <c r="C13" s="135" t="str">
        <f>"Low Season "&amp;'Tariffs Inputs'!C34&amp;" "&amp;'Tariffs Inputs'!D34&amp;" comparison"</f>
        <v>Low Season B TOU Tariff 2 comparison</v>
      </c>
      <c r="D13" s="6"/>
      <c r="E13" s="6"/>
      <c r="F13" s="237"/>
      <c r="G13" s="237"/>
      <c r="H13" s="136">
        <v>0.13</v>
      </c>
      <c r="I13" s="132">
        <v>0.35</v>
      </c>
      <c r="J13" s="137">
        <f>100%-(H13+I13)</f>
        <v>0.52</v>
      </c>
      <c r="K13" s="6"/>
      <c r="L13" s="6"/>
      <c r="M13" s="6"/>
      <c r="N13" s="6"/>
      <c r="O13" s="6"/>
      <c r="P13" s="6"/>
    </row>
    <row r="14" spans="2:17" ht="26.4" customHeight="1" x14ac:dyDescent="0.3">
      <c r="B14" s="63" t="s">
        <v>3</v>
      </c>
      <c r="C14" s="144" t="str">
        <f>C3</f>
        <v>Year 1 Low Season</v>
      </c>
      <c r="D14" s="145"/>
      <c r="E14" s="145"/>
      <c r="F14" s="145"/>
      <c r="G14" s="145"/>
      <c r="H14" s="146"/>
      <c r="I14" s="144" t="str">
        <f>I3</f>
        <v>Year 2 Low Season</v>
      </c>
      <c r="J14" s="145"/>
      <c r="K14" s="145"/>
      <c r="L14" s="145"/>
      <c r="M14" s="145"/>
      <c r="N14" s="146"/>
      <c r="O14" s="148" t="s">
        <v>9</v>
      </c>
      <c r="P14" s="149" t="s">
        <v>10</v>
      </c>
      <c r="Q14" s="12"/>
    </row>
    <row r="15" spans="2:17" ht="48" customHeight="1" x14ac:dyDescent="0.3">
      <c r="B15" s="69" t="s">
        <v>1</v>
      </c>
      <c r="C15" s="53" t="s">
        <v>6</v>
      </c>
      <c r="D15" s="65" t="s">
        <v>25</v>
      </c>
      <c r="E15" s="53" t="s">
        <v>106</v>
      </c>
      <c r="F15" s="53" t="s">
        <v>107</v>
      </c>
      <c r="G15" s="53" t="s">
        <v>108</v>
      </c>
      <c r="H15" s="53" t="s">
        <v>2</v>
      </c>
      <c r="I15" s="53" t="s">
        <v>6</v>
      </c>
      <c r="J15" s="65" t="s">
        <v>25</v>
      </c>
      <c r="K15" s="53" t="s">
        <v>106</v>
      </c>
      <c r="L15" s="53" t="s">
        <v>107</v>
      </c>
      <c r="M15" s="53" t="s">
        <v>108</v>
      </c>
      <c r="N15" s="65" t="s">
        <v>2</v>
      </c>
      <c r="O15" s="238"/>
      <c r="P15" s="239"/>
      <c r="Q15" s="12"/>
    </row>
    <row r="16" spans="2:17" x14ac:dyDescent="0.3">
      <c r="B16" s="71">
        <v>600</v>
      </c>
      <c r="C16" s="9">
        <f>'Tariffs Inputs'!$E$34</f>
        <v>2</v>
      </c>
      <c r="D16" s="24">
        <f>'Tariffs Inputs'!$F$34*'Tariffs Inputs'!$AA$34</f>
        <v>0</v>
      </c>
      <c r="E16" s="9">
        <f>B16*$H$13*'Tariffs Inputs'!$G$34</f>
        <v>214.5</v>
      </c>
      <c r="F16" s="9">
        <f>B16*$I$13*'Tariffs Inputs'!$H$34</f>
        <v>210</v>
      </c>
      <c r="G16" s="9">
        <f>B16*$J$13*'Tariffs Inputs'!$I$34</f>
        <v>234</v>
      </c>
      <c r="H16" s="51">
        <f>SUM(C16:G16)</f>
        <v>660.5</v>
      </c>
      <c r="I16" s="11">
        <f>'Tariffs Inputs'!$O$34</f>
        <v>0</v>
      </c>
      <c r="J16" s="30">
        <f>'Tariffs Inputs'!$P$34*'Tariffs Inputs'!$AA$34</f>
        <v>0</v>
      </c>
      <c r="K16" s="11">
        <f>B16*$H$13*'Tariffs Inputs'!$Q$34</f>
        <v>156</v>
      </c>
      <c r="L16" s="11">
        <f>B16*$I$13*'Tariffs Inputs'!$R$34</f>
        <v>420</v>
      </c>
      <c r="M16" s="11">
        <f>B16*$J$13*'Tariffs Inputs'!$S$34</f>
        <v>246.48000000000002</v>
      </c>
      <c r="N16" s="28">
        <f>SUM(I16:M16)</f>
        <v>822.48</v>
      </c>
      <c r="O16" s="75">
        <f>+N16-H16</f>
        <v>161.98000000000002</v>
      </c>
      <c r="P16" s="138">
        <f>+O16/H16</f>
        <v>0.24523845571536718</v>
      </c>
      <c r="Q16" s="12"/>
    </row>
    <row r="17" spans="2:17" x14ac:dyDescent="0.3">
      <c r="B17" s="72">
        <v>700</v>
      </c>
      <c r="C17" s="9">
        <f>'Tariffs Inputs'!$E$34</f>
        <v>2</v>
      </c>
      <c r="D17" s="24">
        <f>'Tariffs Inputs'!$F$34*'Tariffs Inputs'!$AA$34</f>
        <v>0</v>
      </c>
      <c r="E17" s="9">
        <f>B17*$H$13*'Tariffs Inputs'!$G$34</f>
        <v>250.25</v>
      </c>
      <c r="F17" s="9">
        <f>B17*$I$13*'Tariffs Inputs'!$H$34</f>
        <v>244.99999999999997</v>
      </c>
      <c r="G17" s="9">
        <f>B17*$J$13*'Tariffs Inputs'!$I$34</f>
        <v>273</v>
      </c>
      <c r="H17" s="51">
        <f t="shared" ref="H17:H20" si="2">SUM(C17:G17)</f>
        <v>770.25</v>
      </c>
      <c r="I17" s="11">
        <f>'Tariffs Inputs'!$O$34</f>
        <v>0</v>
      </c>
      <c r="J17" s="30">
        <f>'Tariffs Inputs'!$P$34*'Tariffs Inputs'!$AA$34</f>
        <v>0</v>
      </c>
      <c r="K17" s="11">
        <f>B17*$H$13*'Tariffs Inputs'!$Q$34</f>
        <v>182</v>
      </c>
      <c r="L17" s="11">
        <f>B17*$I$13*'Tariffs Inputs'!$R$34</f>
        <v>489.99999999999994</v>
      </c>
      <c r="M17" s="11">
        <f>B17*$J$13*'Tariffs Inputs'!$S$34</f>
        <v>287.56</v>
      </c>
      <c r="N17" s="28">
        <f t="shared" ref="N17:N19" si="3">SUM(I17:M17)</f>
        <v>959.56</v>
      </c>
      <c r="O17" s="77">
        <f>+N17-H17</f>
        <v>189.30999999999995</v>
      </c>
      <c r="P17" s="78">
        <f>+O17/H17</f>
        <v>0.24577734501785128</v>
      </c>
      <c r="Q17" s="12"/>
    </row>
    <row r="18" spans="2:17" x14ac:dyDescent="0.3">
      <c r="B18" s="71">
        <v>800</v>
      </c>
      <c r="C18" s="9">
        <f>'Tariffs Inputs'!$E$34</f>
        <v>2</v>
      </c>
      <c r="D18" s="24">
        <f>'Tariffs Inputs'!$F$34*'Tariffs Inputs'!$AA$34</f>
        <v>0</v>
      </c>
      <c r="E18" s="9">
        <f>B18*$H$13*'Tariffs Inputs'!$G$34</f>
        <v>286</v>
      </c>
      <c r="F18" s="9">
        <f>B18*$I$13*'Tariffs Inputs'!$H$34</f>
        <v>280</v>
      </c>
      <c r="G18" s="9">
        <f>B18*$J$13*'Tariffs Inputs'!$I$34</f>
        <v>312</v>
      </c>
      <c r="H18" s="51">
        <f t="shared" si="2"/>
        <v>880</v>
      </c>
      <c r="I18" s="11">
        <f>'Tariffs Inputs'!$O$34</f>
        <v>0</v>
      </c>
      <c r="J18" s="30">
        <f>'Tariffs Inputs'!$P$34*'Tariffs Inputs'!$AA$34</f>
        <v>0</v>
      </c>
      <c r="K18" s="11">
        <f>B18*$H$13*'Tariffs Inputs'!$Q$34</f>
        <v>208</v>
      </c>
      <c r="L18" s="11">
        <f>B18*$I$13*'Tariffs Inputs'!$R$34</f>
        <v>560</v>
      </c>
      <c r="M18" s="11">
        <f>B18*$J$13*'Tariffs Inputs'!$S$34</f>
        <v>328.64</v>
      </c>
      <c r="N18" s="28">
        <f t="shared" si="3"/>
        <v>1096.6399999999999</v>
      </c>
      <c r="O18" s="75">
        <f>+N18-H18</f>
        <v>216.63999999999987</v>
      </c>
      <c r="P18" s="138">
        <f>+O18/H18</f>
        <v>0.24618181818181803</v>
      </c>
      <c r="Q18" s="12"/>
    </row>
    <row r="19" spans="2:17" x14ac:dyDescent="0.3">
      <c r="B19" s="72">
        <v>900</v>
      </c>
      <c r="C19" s="9">
        <f>'Tariffs Inputs'!$E$34</f>
        <v>2</v>
      </c>
      <c r="D19" s="24">
        <f>'Tariffs Inputs'!$F$34*'Tariffs Inputs'!$AA$34</f>
        <v>0</v>
      </c>
      <c r="E19" s="9">
        <f>B19*$H$13*'Tariffs Inputs'!$G$34</f>
        <v>321.75</v>
      </c>
      <c r="F19" s="9">
        <f>B19*$I$13*'Tariffs Inputs'!$H$34</f>
        <v>315</v>
      </c>
      <c r="G19" s="9">
        <f>B19*$J$13*'Tariffs Inputs'!$I$34</f>
        <v>351</v>
      </c>
      <c r="H19" s="51">
        <f t="shared" si="2"/>
        <v>989.75</v>
      </c>
      <c r="I19" s="11">
        <f>'Tariffs Inputs'!$O$34</f>
        <v>0</v>
      </c>
      <c r="J19" s="30">
        <f>'Tariffs Inputs'!$P$34*'Tariffs Inputs'!$AA$34</f>
        <v>0</v>
      </c>
      <c r="K19" s="11">
        <f>B19*$H$13*'Tariffs Inputs'!$Q$34</f>
        <v>234</v>
      </c>
      <c r="L19" s="11">
        <f>B19*$I$13*'Tariffs Inputs'!$R$34</f>
        <v>630</v>
      </c>
      <c r="M19" s="11">
        <f>B19*$J$13*'Tariffs Inputs'!$S$34</f>
        <v>369.72</v>
      </c>
      <c r="N19" s="28">
        <f t="shared" si="3"/>
        <v>1233.72</v>
      </c>
      <c r="O19" s="77">
        <f>+N19-H19</f>
        <v>243.97000000000003</v>
      </c>
      <c r="P19" s="78">
        <f>+O19/H19</f>
        <v>0.24649659004799193</v>
      </c>
      <c r="Q19" s="12"/>
    </row>
    <row r="20" spans="2:17" x14ac:dyDescent="0.3">
      <c r="B20" s="71">
        <v>1000</v>
      </c>
      <c r="C20" s="9">
        <f>'Tariffs Inputs'!$E$34</f>
        <v>2</v>
      </c>
      <c r="D20" s="24">
        <f>'Tariffs Inputs'!$F$34*'Tariffs Inputs'!$AA$34</f>
        <v>0</v>
      </c>
      <c r="E20" s="9">
        <f>B20*$H$13*'Tariffs Inputs'!$G$34</f>
        <v>357.5</v>
      </c>
      <c r="F20" s="9">
        <f>B20*$I$13*'Tariffs Inputs'!$H$34</f>
        <v>350</v>
      </c>
      <c r="G20" s="9">
        <f>B20*$J$13*'Tariffs Inputs'!$I$34</f>
        <v>390</v>
      </c>
      <c r="H20" s="51">
        <f t="shared" si="2"/>
        <v>1099.5</v>
      </c>
      <c r="I20" s="11">
        <f>'Tariffs Inputs'!$O$34</f>
        <v>0</v>
      </c>
      <c r="J20" s="30">
        <f>'Tariffs Inputs'!$P$34*'Tariffs Inputs'!$AA$34</f>
        <v>0</v>
      </c>
      <c r="K20" s="11">
        <f>B20*$H$13*'Tariffs Inputs'!$Q$34</f>
        <v>260</v>
      </c>
      <c r="L20" s="11">
        <f>B20*$I$13*'Tariffs Inputs'!$R$34</f>
        <v>700</v>
      </c>
      <c r="M20" s="11">
        <f>B20*$J$13*'Tariffs Inputs'!$S$34</f>
        <v>410.8</v>
      </c>
      <c r="N20" s="28">
        <f>SUM(I20:M20)</f>
        <v>1370.8</v>
      </c>
      <c r="O20" s="75">
        <f>+N20-H20</f>
        <v>271.29999999999995</v>
      </c>
      <c r="P20" s="138">
        <f>+O20/H20</f>
        <v>0.24674852205547973</v>
      </c>
      <c r="Q20" s="12"/>
    </row>
    <row r="21" spans="2:17" x14ac:dyDescent="0.3">
      <c r="B21" s="1"/>
      <c r="C21" s="2"/>
      <c r="D21" s="2"/>
      <c r="E21" s="2"/>
      <c r="F21" s="2"/>
      <c r="G21" s="2"/>
      <c r="H21" s="2"/>
      <c r="I21" s="2"/>
      <c r="J21" s="2"/>
      <c r="K21" s="3"/>
      <c r="L21" s="4"/>
      <c r="M21" s="4"/>
      <c r="N21" s="4"/>
      <c r="O21" s="4"/>
      <c r="P21" s="4"/>
      <c r="Q21" s="12"/>
    </row>
    <row r="23" spans="2:17" ht="14.4" customHeight="1" x14ac:dyDescent="0.3">
      <c r="C23" s="133"/>
      <c r="D23" s="134"/>
      <c r="E23" s="134"/>
      <c r="F23" s="236" t="s">
        <v>110</v>
      </c>
      <c r="G23" s="236"/>
      <c r="H23" s="52" t="s">
        <v>37</v>
      </c>
      <c r="I23" s="52" t="s">
        <v>38</v>
      </c>
      <c r="J23" s="49" t="s">
        <v>109</v>
      </c>
    </row>
    <row r="24" spans="2:17" x14ac:dyDescent="0.3">
      <c r="B24" s="6"/>
      <c r="C24" s="135" t="str">
        <f>"Low Season "&amp;'Tariffs Inputs'!C35&amp;" "&amp;'Tariffs Inputs'!D35&amp;" comparison"</f>
        <v>Low Season C TOU Tariff 3 comparison</v>
      </c>
      <c r="D24" s="6"/>
      <c r="E24" s="6"/>
      <c r="F24" s="237"/>
      <c r="G24" s="237"/>
      <c r="H24" s="136">
        <v>0.2</v>
      </c>
      <c r="I24" s="132">
        <v>0.1</v>
      </c>
      <c r="J24" s="137">
        <f>100%-(H24+I24)</f>
        <v>0.7</v>
      </c>
      <c r="K24" s="6"/>
      <c r="L24" s="6"/>
      <c r="M24" s="6"/>
      <c r="N24" s="6"/>
      <c r="O24" s="6"/>
      <c r="P24" s="6"/>
    </row>
    <row r="25" spans="2:17" ht="28.8" x14ac:dyDescent="0.3">
      <c r="B25" s="63" t="s">
        <v>3</v>
      </c>
      <c r="C25" s="144" t="str">
        <f>C3</f>
        <v>Year 1 Low Season</v>
      </c>
      <c r="D25" s="145"/>
      <c r="E25" s="145"/>
      <c r="F25" s="145"/>
      <c r="G25" s="145"/>
      <c r="H25" s="146"/>
      <c r="I25" s="144" t="str">
        <f>I3</f>
        <v>Year 2 Low Season</v>
      </c>
      <c r="J25" s="145"/>
      <c r="K25" s="145"/>
      <c r="L25" s="145"/>
      <c r="M25" s="145"/>
      <c r="N25" s="146"/>
      <c r="O25" s="148" t="s">
        <v>9</v>
      </c>
      <c r="P25" s="149" t="s">
        <v>10</v>
      </c>
    </row>
    <row r="26" spans="2:17" ht="43.2" x14ac:dyDescent="0.3">
      <c r="B26" s="69" t="s">
        <v>1</v>
      </c>
      <c r="C26" s="53" t="s">
        <v>6</v>
      </c>
      <c r="D26" s="65" t="s">
        <v>25</v>
      </c>
      <c r="E26" s="53" t="s">
        <v>106</v>
      </c>
      <c r="F26" s="53" t="s">
        <v>107</v>
      </c>
      <c r="G26" s="53" t="s">
        <v>108</v>
      </c>
      <c r="H26" s="53" t="s">
        <v>2</v>
      </c>
      <c r="I26" s="53" t="s">
        <v>6</v>
      </c>
      <c r="J26" s="65" t="s">
        <v>25</v>
      </c>
      <c r="K26" s="53" t="s">
        <v>106</v>
      </c>
      <c r="L26" s="53" t="s">
        <v>107</v>
      </c>
      <c r="M26" s="53" t="s">
        <v>108</v>
      </c>
      <c r="N26" s="65" t="s">
        <v>2</v>
      </c>
      <c r="O26" s="238"/>
      <c r="P26" s="239"/>
    </row>
    <row r="27" spans="2:17" x14ac:dyDescent="0.3">
      <c r="B27" s="71">
        <v>600</v>
      </c>
      <c r="C27" s="9">
        <f>'Tariffs Inputs'!$E$35</f>
        <v>0</v>
      </c>
      <c r="D27" s="24">
        <f>'Tariffs Inputs'!$F$35*'Tariffs Inputs'!$AA$35</f>
        <v>0</v>
      </c>
      <c r="E27" s="9">
        <f>B27*$H$24*'Tariffs Inputs'!$G$35</f>
        <v>468</v>
      </c>
      <c r="F27" s="9">
        <f>B27*$I$24*'Tariffs Inputs'!$H$35</f>
        <v>60</v>
      </c>
      <c r="G27" s="9">
        <f>B27*$J$24*'Tariffs Inputs'!$I$35</f>
        <v>315</v>
      </c>
      <c r="H27" s="51">
        <f>SUM(C27:G27)</f>
        <v>843</v>
      </c>
      <c r="I27" s="11">
        <f>'Tariffs Inputs'!$O$35</f>
        <v>0</v>
      </c>
      <c r="J27" s="30">
        <f>'Tariffs Inputs'!$P$35*'Tariffs Inputs'!$AA$35</f>
        <v>0</v>
      </c>
      <c r="K27" s="11">
        <f>B27*$H$24*'Tariffs Inputs'!$Q$35</f>
        <v>240</v>
      </c>
      <c r="L27" s="11">
        <f>B27*$I$24*'Tariffs Inputs'!$R$35</f>
        <v>120</v>
      </c>
      <c r="M27" s="11">
        <f>B27*$J$24*'Tariffs Inputs'!$S$35</f>
        <v>310.8</v>
      </c>
      <c r="N27" s="28">
        <f>SUM(I27:M27)</f>
        <v>670.8</v>
      </c>
      <c r="O27" s="75">
        <f>+N27-H27</f>
        <v>-172.20000000000005</v>
      </c>
      <c r="P27" s="138">
        <f>+O27/H27</f>
        <v>-0.204270462633452</v>
      </c>
    </row>
    <row r="28" spans="2:17" x14ac:dyDescent="0.3">
      <c r="B28" s="72">
        <v>700</v>
      </c>
      <c r="C28" s="9">
        <f>'Tariffs Inputs'!$E$35</f>
        <v>0</v>
      </c>
      <c r="D28" s="24">
        <f>'Tariffs Inputs'!$F$35*'Tariffs Inputs'!$AA$35</f>
        <v>0</v>
      </c>
      <c r="E28" s="9">
        <f>B28*$H$24*'Tariffs Inputs'!$G$35</f>
        <v>546</v>
      </c>
      <c r="F28" s="9">
        <f>B28*$I$24*'Tariffs Inputs'!$H$35</f>
        <v>70</v>
      </c>
      <c r="G28" s="9">
        <f>B28*$J$24*'Tariffs Inputs'!$I$35</f>
        <v>367.49999999999994</v>
      </c>
      <c r="H28" s="51">
        <f t="shared" ref="H28:H31" si="4">SUM(C28:G28)</f>
        <v>983.5</v>
      </c>
      <c r="I28" s="11">
        <f>'Tariffs Inputs'!$O$35</f>
        <v>0</v>
      </c>
      <c r="J28" s="30">
        <f>'Tariffs Inputs'!$P$35*'Tariffs Inputs'!$AA$35</f>
        <v>0</v>
      </c>
      <c r="K28" s="11">
        <f>B28*$H$24*'Tariffs Inputs'!$Q$35</f>
        <v>280</v>
      </c>
      <c r="L28" s="11">
        <f>B28*$I$24*'Tariffs Inputs'!$R$35</f>
        <v>140</v>
      </c>
      <c r="M28" s="11">
        <f>B28*$J$24*'Tariffs Inputs'!$S$35</f>
        <v>362.59999999999997</v>
      </c>
      <c r="N28" s="28">
        <f t="shared" ref="N28:N30" si="5">SUM(I28:M28)</f>
        <v>782.59999999999991</v>
      </c>
      <c r="O28" s="77">
        <f>+N28-H28</f>
        <v>-200.90000000000009</v>
      </c>
      <c r="P28" s="78">
        <f>+O28/H28</f>
        <v>-0.20427046263345205</v>
      </c>
    </row>
    <row r="29" spans="2:17" x14ac:dyDescent="0.3">
      <c r="B29" s="71">
        <v>800</v>
      </c>
      <c r="C29" s="9">
        <f>'Tariffs Inputs'!$E$35</f>
        <v>0</v>
      </c>
      <c r="D29" s="24">
        <f>'Tariffs Inputs'!$F$35*'Tariffs Inputs'!$AA$35</f>
        <v>0</v>
      </c>
      <c r="E29" s="9">
        <f>B29*$H$24*'Tariffs Inputs'!$G$35</f>
        <v>624</v>
      </c>
      <c r="F29" s="9">
        <f>B29*$I$24*'Tariffs Inputs'!$H$35</f>
        <v>80</v>
      </c>
      <c r="G29" s="9">
        <f>B29*$J$24*'Tariffs Inputs'!$I$35</f>
        <v>420</v>
      </c>
      <c r="H29" s="51">
        <f t="shared" si="4"/>
        <v>1124</v>
      </c>
      <c r="I29" s="11">
        <f>'Tariffs Inputs'!$O$35</f>
        <v>0</v>
      </c>
      <c r="J29" s="30">
        <f>'Tariffs Inputs'!$P$35*'Tariffs Inputs'!$AA$35</f>
        <v>0</v>
      </c>
      <c r="K29" s="11">
        <f>B29*$H$24*'Tariffs Inputs'!$Q$35</f>
        <v>320</v>
      </c>
      <c r="L29" s="11">
        <f>B29*$I$24*'Tariffs Inputs'!$R$35</f>
        <v>160</v>
      </c>
      <c r="M29" s="11">
        <f>B29*$J$24*'Tariffs Inputs'!$S$35</f>
        <v>414.4</v>
      </c>
      <c r="N29" s="28">
        <f t="shared" si="5"/>
        <v>894.4</v>
      </c>
      <c r="O29" s="75">
        <f>+N29-H29</f>
        <v>-229.60000000000002</v>
      </c>
      <c r="P29" s="138">
        <f>+O29/H29</f>
        <v>-0.20427046263345197</v>
      </c>
    </row>
    <row r="30" spans="2:17" x14ac:dyDescent="0.3">
      <c r="B30" s="72">
        <v>900</v>
      </c>
      <c r="C30" s="9">
        <f>'Tariffs Inputs'!$E$35</f>
        <v>0</v>
      </c>
      <c r="D30" s="24">
        <f>'Tariffs Inputs'!$F$35*'Tariffs Inputs'!$AA$35</f>
        <v>0</v>
      </c>
      <c r="E30" s="9">
        <f>B30*$H$24*'Tariffs Inputs'!$G$35</f>
        <v>702</v>
      </c>
      <c r="F30" s="9">
        <f>B30*$I$24*'Tariffs Inputs'!$H$35</f>
        <v>90</v>
      </c>
      <c r="G30" s="9">
        <f>B30*$J$24*'Tariffs Inputs'!$I$35</f>
        <v>472.5</v>
      </c>
      <c r="H30" s="51">
        <f t="shared" si="4"/>
        <v>1264.5</v>
      </c>
      <c r="I30" s="11">
        <f>'Tariffs Inputs'!$O$35</f>
        <v>0</v>
      </c>
      <c r="J30" s="30">
        <f>'Tariffs Inputs'!$P$35*'Tariffs Inputs'!$AA$35</f>
        <v>0</v>
      </c>
      <c r="K30" s="11">
        <f>B30*$H$24*'Tariffs Inputs'!$Q$35</f>
        <v>360</v>
      </c>
      <c r="L30" s="11">
        <f>B30*$I$24*'Tariffs Inputs'!$R$35</f>
        <v>180</v>
      </c>
      <c r="M30" s="11">
        <f>B30*$J$24*'Tariffs Inputs'!$S$35</f>
        <v>466.2</v>
      </c>
      <c r="N30" s="28">
        <f t="shared" si="5"/>
        <v>1006.2</v>
      </c>
      <c r="O30" s="77">
        <f>+N30-H30</f>
        <v>-258.29999999999995</v>
      </c>
      <c r="P30" s="78">
        <f>+O30/H30</f>
        <v>-0.20427046263345192</v>
      </c>
    </row>
    <row r="31" spans="2:17" x14ac:dyDescent="0.3">
      <c r="B31" s="71">
        <v>1000</v>
      </c>
      <c r="C31" s="9">
        <f>'Tariffs Inputs'!$E$35</f>
        <v>0</v>
      </c>
      <c r="D31" s="24">
        <f>'Tariffs Inputs'!$F$35*'Tariffs Inputs'!$AA$35</f>
        <v>0</v>
      </c>
      <c r="E31" s="9">
        <f>B31*$H$24*'Tariffs Inputs'!$G$35</f>
        <v>780</v>
      </c>
      <c r="F31" s="9">
        <f>B31*$I$24*'Tariffs Inputs'!$H$35</f>
        <v>100</v>
      </c>
      <c r="G31" s="9">
        <f>B31*$J$24*'Tariffs Inputs'!$I$35</f>
        <v>525</v>
      </c>
      <c r="H31" s="51">
        <f t="shared" si="4"/>
        <v>1405</v>
      </c>
      <c r="I31" s="11">
        <f>'Tariffs Inputs'!$O$35</f>
        <v>0</v>
      </c>
      <c r="J31" s="30">
        <f>'Tariffs Inputs'!$P$35*'Tariffs Inputs'!$AA$35</f>
        <v>0</v>
      </c>
      <c r="K31" s="11">
        <f>B31*$H$24*'Tariffs Inputs'!$Q$35</f>
        <v>400</v>
      </c>
      <c r="L31" s="11">
        <f>B31*$I$24*'Tariffs Inputs'!$R$35</f>
        <v>200</v>
      </c>
      <c r="M31" s="11">
        <f>B31*$J$24*'Tariffs Inputs'!$S$35</f>
        <v>518</v>
      </c>
      <c r="N31" s="28">
        <f>SUM(I31:M31)</f>
        <v>1118</v>
      </c>
      <c r="O31" s="75">
        <f>+N31-H31</f>
        <v>-287</v>
      </c>
      <c r="P31" s="138">
        <f>+O31/H31</f>
        <v>-0.20427046263345194</v>
      </c>
    </row>
    <row r="32" spans="2:17" x14ac:dyDescent="0.3">
      <c r="B32" s="1"/>
      <c r="C32" s="2"/>
      <c r="D32" s="2"/>
      <c r="E32" s="2"/>
      <c r="F32" s="2"/>
      <c r="G32" s="2"/>
      <c r="H32" s="2"/>
      <c r="I32" s="2"/>
      <c r="J32" s="2"/>
      <c r="K32" s="3"/>
      <c r="L32" s="4"/>
      <c r="M32" s="4"/>
      <c r="N32" s="4"/>
      <c r="O32" s="4"/>
      <c r="P32" s="4"/>
    </row>
    <row r="34" spans="2:16" ht="14.4" customHeight="1" x14ac:dyDescent="0.3">
      <c r="C34" s="133"/>
      <c r="D34" s="134"/>
      <c r="E34" s="134"/>
      <c r="F34" s="236" t="s">
        <v>110</v>
      </c>
      <c r="G34" s="236"/>
      <c r="H34" s="52" t="s">
        <v>37</v>
      </c>
      <c r="I34" s="52" t="s">
        <v>38</v>
      </c>
      <c r="J34" s="49" t="s">
        <v>109</v>
      </c>
    </row>
    <row r="35" spans="2:16" x14ac:dyDescent="0.3">
      <c r="B35" s="6"/>
      <c r="C35" s="135" t="str">
        <f>"Low Season "&amp;'Tariffs Inputs'!C36&amp;" "&amp;'Tariffs Inputs'!D36&amp;" comparison"</f>
        <v>Low Season D TOU Tariff 4 comparison</v>
      </c>
      <c r="D35" s="6"/>
      <c r="E35" s="6"/>
      <c r="F35" s="237"/>
      <c r="G35" s="237"/>
      <c r="H35" s="136">
        <v>0.1</v>
      </c>
      <c r="I35" s="132">
        <v>0.5</v>
      </c>
      <c r="J35" s="137">
        <f>100%-(H35+I35)</f>
        <v>0.4</v>
      </c>
      <c r="K35" s="6"/>
      <c r="L35" s="6"/>
      <c r="M35" s="6"/>
      <c r="N35" s="6"/>
      <c r="O35" s="6"/>
      <c r="P35" s="6"/>
    </row>
    <row r="36" spans="2:16" ht="28.8" x14ac:dyDescent="0.3">
      <c r="B36" s="63" t="s">
        <v>3</v>
      </c>
      <c r="C36" s="144" t="str">
        <f>C3</f>
        <v>Year 1 Low Season</v>
      </c>
      <c r="D36" s="145"/>
      <c r="E36" s="145"/>
      <c r="F36" s="145"/>
      <c r="G36" s="145"/>
      <c r="H36" s="146"/>
      <c r="I36" s="144" t="str">
        <f>I3</f>
        <v>Year 2 Low Season</v>
      </c>
      <c r="J36" s="145"/>
      <c r="K36" s="145"/>
      <c r="L36" s="145"/>
      <c r="M36" s="145"/>
      <c r="N36" s="146"/>
      <c r="O36" s="148" t="s">
        <v>9</v>
      </c>
      <c r="P36" s="149" t="s">
        <v>10</v>
      </c>
    </row>
    <row r="37" spans="2:16" ht="43.2" x14ac:dyDescent="0.3">
      <c r="B37" s="69" t="s">
        <v>1</v>
      </c>
      <c r="C37" s="53" t="s">
        <v>6</v>
      </c>
      <c r="D37" s="65" t="s">
        <v>25</v>
      </c>
      <c r="E37" s="53" t="s">
        <v>106</v>
      </c>
      <c r="F37" s="53" t="s">
        <v>107</v>
      </c>
      <c r="G37" s="53" t="s">
        <v>108</v>
      </c>
      <c r="H37" s="53" t="s">
        <v>2</v>
      </c>
      <c r="I37" s="53" t="s">
        <v>6</v>
      </c>
      <c r="J37" s="65" t="s">
        <v>25</v>
      </c>
      <c r="K37" s="53" t="s">
        <v>106</v>
      </c>
      <c r="L37" s="53" t="s">
        <v>107</v>
      </c>
      <c r="M37" s="53" t="s">
        <v>108</v>
      </c>
      <c r="N37" s="65" t="s">
        <v>2</v>
      </c>
      <c r="O37" s="238"/>
      <c r="P37" s="239"/>
    </row>
    <row r="38" spans="2:16" x14ac:dyDescent="0.3">
      <c r="B38" s="71">
        <v>600</v>
      </c>
      <c r="C38" s="9">
        <f>'Tariffs Inputs'!$E$36</f>
        <v>0</v>
      </c>
      <c r="D38" s="24">
        <f>'Tariffs Inputs'!$F$36*'Tariffs Inputs'!$AA$36</f>
        <v>0</v>
      </c>
      <c r="E38" s="9">
        <f>B38*$H$35*'Tariffs Inputs'!$G$36</f>
        <v>242.4</v>
      </c>
      <c r="F38" s="9">
        <f>B38*$I$35*'Tariffs Inputs'!$H$36</f>
        <v>300</v>
      </c>
      <c r="G38" s="9">
        <f>B38*$J$35*'Tariffs Inputs'!$I$36</f>
        <v>180</v>
      </c>
      <c r="H38" s="51">
        <f>SUM(C38:G38)</f>
        <v>722.4</v>
      </c>
      <c r="I38" s="11">
        <f>'Tariffs Inputs'!$O$36</f>
        <v>0</v>
      </c>
      <c r="J38" s="30">
        <f>'Tariffs Inputs'!$P$36*'Tariffs Inputs'!$AA$36</f>
        <v>0</v>
      </c>
      <c r="K38" s="11">
        <f>B38*$H$35*'Tariffs Inputs'!$Q$36</f>
        <v>120</v>
      </c>
      <c r="L38" s="11">
        <f>B38*$I$35*'Tariffs Inputs'!$R$36</f>
        <v>600</v>
      </c>
      <c r="M38" s="11">
        <f>B38*$J$35*'Tariffs Inputs'!$S$36</f>
        <v>184.8</v>
      </c>
      <c r="N38" s="28">
        <f>SUM(I38:M38)</f>
        <v>904.8</v>
      </c>
      <c r="O38" s="75">
        <f>+N38-H38</f>
        <v>182.39999999999998</v>
      </c>
      <c r="P38" s="138">
        <f>+O38/H38</f>
        <v>0.25249169435215946</v>
      </c>
    </row>
    <row r="39" spans="2:16" x14ac:dyDescent="0.3">
      <c r="B39" s="72">
        <v>700</v>
      </c>
      <c r="C39" s="9">
        <f>'Tariffs Inputs'!$E$36</f>
        <v>0</v>
      </c>
      <c r="D39" s="24">
        <f>'Tariffs Inputs'!$F$36*'Tariffs Inputs'!$AA$36</f>
        <v>0</v>
      </c>
      <c r="E39" s="9">
        <f>B39*$H$35*'Tariffs Inputs'!$G$36</f>
        <v>282.8</v>
      </c>
      <c r="F39" s="9">
        <f>B39*$I$35*'Tariffs Inputs'!$H$36</f>
        <v>350</v>
      </c>
      <c r="G39" s="9">
        <f>B39*$J$35*'Tariffs Inputs'!$I$36</f>
        <v>210</v>
      </c>
      <c r="H39" s="51">
        <f t="shared" ref="H39:H42" si="6">SUM(C39:G39)</f>
        <v>842.8</v>
      </c>
      <c r="I39" s="11">
        <f>'Tariffs Inputs'!$O$36</f>
        <v>0</v>
      </c>
      <c r="J39" s="30">
        <f>'Tariffs Inputs'!$P$36*'Tariffs Inputs'!$AA$36</f>
        <v>0</v>
      </c>
      <c r="K39" s="11">
        <f>B39*$H$35*'Tariffs Inputs'!$Q$36</f>
        <v>140</v>
      </c>
      <c r="L39" s="11">
        <f>B39*$I$35*'Tariffs Inputs'!$R$36</f>
        <v>700</v>
      </c>
      <c r="M39" s="11">
        <f>B39*$J$35*'Tariffs Inputs'!$S$36</f>
        <v>215.6</v>
      </c>
      <c r="N39" s="28">
        <f t="shared" ref="N39:N41" si="7">SUM(I39:M39)</f>
        <v>1055.5999999999999</v>
      </c>
      <c r="O39" s="77">
        <f>+N39-H39</f>
        <v>212.79999999999995</v>
      </c>
      <c r="P39" s="78">
        <f>+O39/H39</f>
        <v>0.2524916943521594</v>
      </c>
    </row>
    <row r="40" spans="2:16" x14ac:dyDescent="0.3">
      <c r="B40" s="71">
        <v>800</v>
      </c>
      <c r="C40" s="9">
        <f>'Tariffs Inputs'!$E$36</f>
        <v>0</v>
      </c>
      <c r="D40" s="24">
        <f>'Tariffs Inputs'!$F$36*'Tariffs Inputs'!$AA$36</f>
        <v>0</v>
      </c>
      <c r="E40" s="9">
        <f>B40*$H$35*'Tariffs Inputs'!$G$36</f>
        <v>323.2</v>
      </c>
      <c r="F40" s="9">
        <f>B40*$I$35*'Tariffs Inputs'!$H$36</f>
        <v>400</v>
      </c>
      <c r="G40" s="9">
        <f>B40*$J$35*'Tariffs Inputs'!$I$36</f>
        <v>240</v>
      </c>
      <c r="H40" s="51">
        <f t="shared" si="6"/>
        <v>963.2</v>
      </c>
      <c r="I40" s="11">
        <f>'Tariffs Inputs'!$O$36</f>
        <v>0</v>
      </c>
      <c r="J40" s="30">
        <f>'Tariffs Inputs'!$P$36*'Tariffs Inputs'!$AA$36</f>
        <v>0</v>
      </c>
      <c r="K40" s="11">
        <f>B40*$H$35*'Tariffs Inputs'!$Q$36</f>
        <v>160</v>
      </c>
      <c r="L40" s="11">
        <f>B40*$I$35*'Tariffs Inputs'!$R$36</f>
        <v>800</v>
      </c>
      <c r="M40" s="11">
        <f>B40*$J$35*'Tariffs Inputs'!$S$36</f>
        <v>246.4</v>
      </c>
      <c r="N40" s="28">
        <f t="shared" si="7"/>
        <v>1206.4000000000001</v>
      </c>
      <c r="O40" s="75">
        <f>+N40-H40</f>
        <v>243.20000000000005</v>
      </c>
      <c r="P40" s="138">
        <f>+O40/H40</f>
        <v>0.25249169435215951</v>
      </c>
    </row>
    <row r="41" spans="2:16" x14ac:dyDescent="0.3">
      <c r="B41" s="72">
        <v>900</v>
      </c>
      <c r="C41" s="9">
        <f>'Tariffs Inputs'!$E$36</f>
        <v>0</v>
      </c>
      <c r="D41" s="24">
        <f>'Tariffs Inputs'!$F$36*'Tariffs Inputs'!$AA$36</f>
        <v>0</v>
      </c>
      <c r="E41" s="9">
        <f>B41*$H$35*'Tariffs Inputs'!$G$36</f>
        <v>363.6</v>
      </c>
      <c r="F41" s="9">
        <f>B41*$I$35*'Tariffs Inputs'!$H$36</f>
        <v>450</v>
      </c>
      <c r="G41" s="9">
        <f>B41*$J$35*'Tariffs Inputs'!$I$36</f>
        <v>270</v>
      </c>
      <c r="H41" s="51">
        <f t="shared" si="6"/>
        <v>1083.5999999999999</v>
      </c>
      <c r="I41" s="11">
        <f>'Tariffs Inputs'!$O$36</f>
        <v>0</v>
      </c>
      <c r="J41" s="30">
        <f>'Tariffs Inputs'!$P$36*'Tariffs Inputs'!$AA$36</f>
        <v>0</v>
      </c>
      <c r="K41" s="11">
        <f>B41*$H$35*'Tariffs Inputs'!$Q$36</f>
        <v>180</v>
      </c>
      <c r="L41" s="11">
        <f>B41*$I$35*'Tariffs Inputs'!$R$36</f>
        <v>900</v>
      </c>
      <c r="M41" s="11">
        <f>B41*$J$35*'Tariffs Inputs'!$S$36</f>
        <v>277.2</v>
      </c>
      <c r="N41" s="28">
        <f t="shared" si="7"/>
        <v>1357.2</v>
      </c>
      <c r="O41" s="77">
        <f>+N41-H41</f>
        <v>273.60000000000014</v>
      </c>
      <c r="P41" s="78">
        <f>+O41/H41</f>
        <v>0.25249169435215962</v>
      </c>
    </row>
    <row r="42" spans="2:16" x14ac:dyDescent="0.3">
      <c r="B42" s="71">
        <v>1000</v>
      </c>
      <c r="C42" s="9">
        <f>'Tariffs Inputs'!$E$36</f>
        <v>0</v>
      </c>
      <c r="D42" s="24">
        <f>'Tariffs Inputs'!$F$36*'Tariffs Inputs'!$AA$36</f>
        <v>0</v>
      </c>
      <c r="E42" s="9">
        <f>B42*$H$35*'Tariffs Inputs'!$G$36</f>
        <v>404</v>
      </c>
      <c r="F42" s="9">
        <f>B42*$I$35*'Tariffs Inputs'!$H$36</f>
        <v>500</v>
      </c>
      <c r="G42" s="9">
        <f>B42*$J$35*'Tariffs Inputs'!$I$36</f>
        <v>300</v>
      </c>
      <c r="H42" s="51">
        <f t="shared" si="6"/>
        <v>1204</v>
      </c>
      <c r="I42" s="11">
        <f>'Tariffs Inputs'!$O$36</f>
        <v>0</v>
      </c>
      <c r="J42" s="30">
        <f>'Tariffs Inputs'!$P$36*'Tariffs Inputs'!$AA$36</f>
        <v>0</v>
      </c>
      <c r="K42" s="11">
        <f>B42*$H$35*'Tariffs Inputs'!$Q$36</f>
        <v>200</v>
      </c>
      <c r="L42" s="11">
        <f>B42*$I$35*'Tariffs Inputs'!$R$36</f>
        <v>1000</v>
      </c>
      <c r="M42" s="11">
        <f>B42*$J$35*'Tariffs Inputs'!$S$36</f>
        <v>308</v>
      </c>
      <c r="N42" s="28">
        <f>SUM(I42:M42)</f>
        <v>1508</v>
      </c>
      <c r="O42" s="75">
        <f>+N42-H42</f>
        <v>304</v>
      </c>
      <c r="P42" s="138">
        <f>+O42/H42</f>
        <v>0.25249169435215946</v>
      </c>
    </row>
    <row r="43" spans="2:16" x14ac:dyDescent="0.3">
      <c r="B43" s="1"/>
      <c r="C43" s="2"/>
      <c r="D43" s="2"/>
      <c r="E43" s="2"/>
      <c r="F43" s="2"/>
      <c r="G43" s="2"/>
      <c r="H43" s="2"/>
      <c r="I43" s="2"/>
      <c r="J43" s="2"/>
      <c r="K43" s="3"/>
      <c r="L43" s="4"/>
      <c r="M43" s="4"/>
      <c r="N43" s="4"/>
      <c r="O43" s="4"/>
      <c r="P43" s="4"/>
    </row>
    <row r="45" spans="2:16" ht="14.4" customHeight="1" x14ac:dyDescent="0.3">
      <c r="C45" s="133"/>
      <c r="D45" s="134"/>
      <c r="E45" s="134"/>
      <c r="F45" s="236" t="s">
        <v>110</v>
      </c>
      <c r="G45" s="236"/>
      <c r="H45" s="52" t="s">
        <v>37</v>
      </c>
      <c r="I45" s="52" t="s">
        <v>38</v>
      </c>
      <c r="J45" s="49" t="s">
        <v>109</v>
      </c>
    </row>
    <row r="46" spans="2:16" x14ac:dyDescent="0.3">
      <c r="B46" s="6"/>
      <c r="C46" s="135" t="str">
        <f>"Low Season "&amp;'Tariffs Inputs'!C37&amp;" "&amp;'Tariffs Inputs'!D37&amp;" comparison"</f>
        <v>Low Season E TOU Tariff 5 comparison</v>
      </c>
      <c r="D46" s="6"/>
      <c r="E46" s="6"/>
      <c r="F46" s="237"/>
      <c r="G46" s="237"/>
      <c r="H46" s="136">
        <v>0.5</v>
      </c>
      <c r="I46" s="132">
        <v>0.1</v>
      </c>
      <c r="J46" s="137">
        <f>100%-(H46+I46)</f>
        <v>0.4</v>
      </c>
      <c r="K46" s="6"/>
      <c r="L46" s="6"/>
      <c r="M46" s="6"/>
      <c r="N46" s="6"/>
      <c r="O46" s="6"/>
      <c r="P46" s="6"/>
    </row>
    <row r="47" spans="2:16" ht="28.8" x14ac:dyDescent="0.3">
      <c r="B47" s="63" t="s">
        <v>3</v>
      </c>
      <c r="C47" s="144" t="str">
        <f>C3</f>
        <v>Year 1 Low Season</v>
      </c>
      <c r="D47" s="145"/>
      <c r="E47" s="145"/>
      <c r="F47" s="145"/>
      <c r="G47" s="145"/>
      <c r="H47" s="146"/>
      <c r="I47" s="144" t="str">
        <f>I3</f>
        <v>Year 2 Low Season</v>
      </c>
      <c r="J47" s="145"/>
      <c r="K47" s="145"/>
      <c r="L47" s="145"/>
      <c r="M47" s="145"/>
      <c r="N47" s="146"/>
      <c r="O47" s="148" t="s">
        <v>9</v>
      </c>
      <c r="P47" s="151" t="s">
        <v>10</v>
      </c>
    </row>
    <row r="48" spans="2:16" ht="43.2" x14ac:dyDescent="0.3">
      <c r="B48" s="69" t="s">
        <v>1</v>
      </c>
      <c r="C48" s="53" t="s">
        <v>6</v>
      </c>
      <c r="D48" s="65" t="s">
        <v>25</v>
      </c>
      <c r="E48" s="53" t="s">
        <v>106</v>
      </c>
      <c r="F48" s="53" t="s">
        <v>107</v>
      </c>
      <c r="G48" s="53" t="s">
        <v>108</v>
      </c>
      <c r="H48" s="53" t="s">
        <v>2</v>
      </c>
      <c r="I48" s="53" t="s">
        <v>6</v>
      </c>
      <c r="J48" s="65" t="s">
        <v>25</v>
      </c>
      <c r="K48" s="53" t="s">
        <v>106</v>
      </c>
      <c r="L48" s="53" t="s">
        <v>107</v>
      </c>
      <c r="M48" s="53" t="s">
        <v>108</v>
      </c>
      <c r="N48" s="65" t="s">
        <v>2</v>
      </c>
      <c r="O48" s="238"/>
      <c r="P48" s="150"/>
    </row>
    <row r="49" spans="1:16" x14ac:dyDescent="0.3">
      <c r="B49" s="71">
        <v>5000</v>
      </c>
      <c r="C49" s="9">
        <f>'Tariffs Inputs'!$E$37</f>
        <v>0</v>
      </c>
      <c r="D49" s="24">
        <f>'Tariffs Inputs'!$F$37*'Tariffs Inputs'!$AA$37</f>
        <v>0</v>
      </c>
      <c r="E49" s="9">
        <f>B49*$H$46*'Tariffs Inputs'!$G$37</f>
        <v>12000</v>
      </c>
      <c r="F49" s="9">
        <f>B49*$I$46*'Tariffs Inputs'!$H$37</f>
        <v>500</v>
      </c>
      <c r="G49" s="9">
        <f>B49*$J$46*'Tariffs Inputs'!$I$37</f>
        <v>1500</v>
      </c>
      <c r="H49" s="51">
        <f>SUM(C49:G49)</f>
        <v>14000</v>
      </c>
      <c r="I49" s="11">
        <f>'Tariffs Inputs'!$O$37</f>
        <v>0</v>
      </c>
      <c r="J49" s="30">
        <f>'Tariffs Inputs'!$P$37*'Tariffs Inputs'!$AA$37</f>
        <v>0</v>
      </c>
      <c r="K49" s="11">
        <f>B49*$H$46*'Tariffs Inputs'!$Q$37</f>
        <v>5000</v>
      </c>
      <c r="L49" s="11">
        <f>B49*$I$46*'Tariffs Inputs'!$R$37</f>
        <v>1000</v>
      </c>
      <c r="M49" s="11">
        <f>B49*$J$46*'Tariffs Inputs'!$S$37</f>
        <v>1460</v>
      </c>
      <c r="N49" s="28">
        <f>SUM(I49:M49)</f>
        <v>7460</v>
      </c>
      <c r="O49" s="75">
        <f>+N49-H49</f>
        <v>-6540</v>
      </c>
      <c r="P49" s="76">
        <f>+O49/H49</f>
        <v>-0.46714285714285714</v>
      </c>
    </row>
    <row r="50" spans="1:16" x14ac:dyDescent="0.3">
      <c r="B50" s="72">
        <v>8000</v>
      </c>
      <c r="C50" s="9">
        <f>'Tariffs Inputs'!$E$37</f>
        <v>0</v>
      </c>
      <c r="D50" s="24">
        <f>'Tariffs Inputs'!$F$37*'Tariffs Inputs'!$AA$37</f>
        <v>0</v>
      </c>
      <c r="E50" s="9">
        <f>B50*$H$46*'Tariffs Inputs'!$G$37</f>
        <v>19200</v>
      </c>
      <c r="F50" s="9">
        <f>B50*$I$46*'Tariffs Inputs'!$H$37</f>
        <v>800</v>
      </c>
      <c r="G50" s="9">
        <f>B50*$J$46*'Tariffs Inputs'!$I$37</f>
        <v>2400</v>
      </c>
      <c r="H50" s="51">
        <f t="shared" ref="H50:H55" si="8">SUM(C50:G50)</f>
        <v>22400</v>
      </c>
      <c r="I50" s="11">
        <f>'Tariffs Inputs'!$O$37</f>
        <v>0</v>
      </c>
      <c r="J50" s="30">
        <f>'Tariffs Inputs'!$P$37*'Tariffs Inputs'!$AA$37</f>
        <v>0</v>
      </c>
      <c r="K50" s="11">
        <f>B50*$H$46*'Tariffs Inputs'!$Q$37</f>
        <v>8000</v>
      </c>
      <c r="L50" s="11">
        <f>B50*$I$46*'Tariffs Inputs'!$R$37</f>
        <v>1600</v>
      </c>
      <c r="M50" s="11">
        <f>B50*$J$46*'Tariffs Inputs'!$S$37</f>
        <v>2336</v>
      </c>
      <c r="N50" s="28">
        <f t="shared" ref="N50:N55" si="9">SUM(I50:M50)</f>
        <v>11936</v>
      </c>
      <c r="O50" s="77">
        <f>+N50-H50</f>
        <v>-10464</v>
      </c>
      <c r="P50" s="79">
        <f>+O50/H50</f>
        <v>-0.46714285714285714</v>
      </c>
    </row>
    <row r="51" spans="1:16" x14ac:dyDescent="0.3">
      <c r="B51" s="71">
        <v>10000</v>
      </c>
      <c r="C51" s="9">
        <f>'Tariffs Inputs'!$E$37</f>
        <v>0</v>
      </c>
      <c r="D51" s="24">
        <f>'Tariffs Inputs'!$F$37*'Tariffs Inputs'!$AA$37</f>
        <v>0</v>
      </c>
      <c r="E51" s="9">
        <f>B51*$H$46*'Tariffs Inputs'!$G$37</f>
        <v>24000</v>
      </c>
      <c r="F51" s="9">
        <f>B51*$I$46*'Tariffs Inputs'!$H$37</f>
        <v>1000</v>
      </c>
      <c r="G51" s="9">
        <f>B51*$J$46*'Tariffs Inputs'!$I$37</f>
        <v>3000</v>
      </c>
      <c r="H51" s="51">
        <f t="shared" si="8"/>
        <v>28000</v>
      </c>
      <c r="I51" s="11">
        <f>'Tariffs Inputs'!$O$37</f>
        <v>0</v>
      </c>
      <c r="J51" s="30">
        <f>'Tariffs Inputs'!$P$37*'Tariffs Inputs'!$AA$37</f>
        <v>0</v>
      </c>
      <c r="K51" s="11">
        <f>B51*$H$46*'Tariffs Inputs'!$Q$37</f>
        <v>10000</v>
      </c>
      <c r="L51" s="11">
        <f>B51*$I$46*'Tariffs Inputs'!$R$37</f>
        <v>2000</v>
      </c>
      <c r="M51" s="11">
        <f>B51*$J$46*'Tariffs Inputs'!$S$37</f>
        <v>2920</v>
      </c>
      <c r="N51" s="28">
        <f t="shared" si="9"/>
        <v>14920</v>
      </c>
      <c r="O51" s="75">
        <f>+N51-H51</f>
        <v>-13080</v>
      </c>
      <c r="P51" s="76">
        <f>+O51/H51</f>
        <v>-0.46714285714285714</v>
      </c>
    </row>
    <row r="52" spans="1:16" x14ac:dyDescent="0.3">
      <c r="A52" s="7"/>
      <c r="B52" s="72">
        <v>15000</v>
      </c>
      <c r="C52" s="9">
        <f>'Tariffs Inputs'!$E$37</f>
        <v>0</v>
      </c>
      <c r="D52" s="24">
        <f>'Tariffs Inputs'!$F$37*'Tariffs Inputs'!$AA$37</f>
        <v>0</v>
      </c>
      <c r="E52" s="9">
        <f>B52*$H$46*'Tariffs Inputs'!$G$37</f>
        <v>36000</v>
      </c>
      <c r="F52" s="9">
        <f>B52*$I$46*'Tariffs Inputs'!$H$37</f>
        <v>1500</v>
      </c>
      <c r="G52" s="9">
        <f>B52*$J$46*'Tariffs Inputs'!$I$37</f>
        <v>4500</v>
      </c>
      <c r="H52" s="51">
        <f t="shared" si="8"/>
        <v>42000</v>
      </c>
      <c r="I52" s="11">
        <f>'Tariffs Inputs'!$O$37</f>
        <v>0</v>
      </c>
      <c r="J52" s="30">
        <f>'Tariffs Inputs'!$P$37*'Tariffs Inputs'!$AA$37</f>
        <v>0</v>
      </c>
      <c r="K52" s="11">
        <f>B52*$H$46*'Tariffs Inputs'!$Q$37</f>
        <v>15000</v>
      </c>
      <c r="L52" s="11">
        <f>B52*$I$46*'Tariffs Inputs'!$R$37</f>
        <v>3000</v>
      </c>
      <c r="M52" s="11">
        <f>B52*$J$46*'Tariffs Inputs'!$S$37</f>
        <v>4380</v>
      </c>
      <c r="N52" s="28">
        <f t="shared" si="9"/>
        <v>22380</v>
      </c>
      <c r="O52" s="75">
        <f t="shared" ref="O52:O53" si="10">+N52-H52</f>
        <v>-19620</v>
      </c>
      <c r="P52" s="76">
        <f t="shared" ref="P52:P53" si="11">+O52/H52</f>
        <v>-0.46714285714285714</v>
      </c>
    </row>
    <row r="53" spans="1:16" x14ac:dyDescent="0.3">
      <c r="A53" s="7"/>
      <c r="B53" s="73">
        <v>20000</v>
      </c>
      <c r="C53" s="9">
        <f>'Tariffs Inputs'!$E$37</f>
        <v>0</v>
      </c>
      <c r="D53" s="24">
        <f>'Tariffs Inputs'!$F$37*'Tariffs Inputs'!$AA$37</f>
        <v>0</v>
      </c>
      <c r="E53" s="9">
        <f>B53*$H$46*'Tariffs Inputs'!$G$37</f>
        <v>48000</v>
      </c>
      <c r="F53" s="9">
        <f>B53*$I$46*'Tariffs Inputs'!$H$37</f>
        <v>2000</v>
      </c>
      <c r="G53" s="9">
        <f>B53*$J$46*'Tariffs Inputs'!$I$37</f>
        <v>6000</v>
      </c>
      <c r="H53" s="51">
        <f t="shared" si="8"/>
        <v>56000</v>
      </c>
      <c r="I53" s="11">
        <f>'Tariffs Inputs'!$O$37</f>
        <v>0</v>
      </c>
      <c r="J53" s="30">
        <f>'Tariffs Inputs'!$P$37*'Tariffs Inputs'!$AA$37</f>
        <v>0</v>
      </c>
      <c r="K53" s="11">
        <f>B53*$H$46*'Tariffs Inputs'!$Q$37</f>
        <v>20000</v>
      </c>
      <c r="L53" s="11">
        <f>B53*$I$46*'Tariffs Inputs'!$R$37</f>
        <v>4000</v>
      </c>
      <c r="M53" s="11">
        <f>B53*$J$46*'Tariffs Inputs'!$S$37</f>
        <v>5840</v>
      </c>
      <c r="N53" s="28">
        <f t="shared" si="9"/>
        <v>29840</v>
      </c>
      <c r="O53" s="75">
        <f t="shared" si="10"/>
        <v>-26160</v>
      </c>
      <c r="P53" s="76">
        <f t="shared" si="11"/>
        <v>-0.46714285714285714</v>
      </c>
    </row>
    <row r="54" spans="1:16" x14ac:dyDescent="0.3">
      <c r="A54" s="7"/>
      <c r="B54" s="73">
        <v>25000</v>
      </c>
      <c r="C54" s="9">
        <f>'Tariffs Inputs'!$E$37</f>
        <v>0</v>
      </c>
      <c r="D54" s="24">
        <f>'Tariffs Inputs'!$F$37*'Tariffs Inputs'!$AA$37</f>
        <v>0</v>
      </c>
      <c r="E54" s="9">
        <f>B54*$H$46*'Tariffs Inputs'!$G$37</f>
        <v>60000</v>
      </c>
      <c r="F54" s="9">
        <f>B54*$I$46*'Tariffs Inputs'!$H$37</f>
        <v>2500</v>
      </c>
      <c r="G54" s="9">
        <f>B54*$J$46*'Tariffs Inputs'!$I$37</f>
        <v>7500</v>
      </c>
      <c r="H54" s="51">
        <f t="shared" si="8"/>
        <v>70000</v>
      </c>
      <c r="I54" s="11">
        <f>'Tariffs Inputs'!$O$37</f>
        <v>0</v>
      </c>
      <c r="J54" s="30">
        <f>'Tariffs Inputs'!$P$37*'Tariffs Inputs'!$AA$37</f>
        <v>0</v>
      </c>
      <c r="K54" s="11">
        <f>B54*$H$46*'Tariffs Inputs'!$Q$37</f>
        <v>25000</v>
      </c>
      <c r="L54" s="11">
        <f>B54*$I$46*'Tariffs Inputs'!$R$37</f>
        <v>5000</v>
      </c>
      <c r="M54" s="11">
        <f>B54*$J$46*'Tariffs Inputs'!$S$37</f>
        <v>7300</v>
      </c>
      <c r="N54" s="28">
        <f t="shared" si="9"/>
        <v>37300</v>
      </c>
      <c r="O54" s="139">
        <f>+N54-H54</f>
        <v>-32700</v>
      </c>
      <c r="P54" s="83">
        <f>+O54/H54</f>
        <v>-0.46714285714285714</v>
      </c>
    </row>
    <row r="55" spans="1:16" x14ac:dyDescent="0.3">
      <c r="A55" s="7"/>
      <c r="B55" s="124">
        <v>30000</v>
      </c>
      <c r="C55" s="9">
        <f>'Tariffs Inputs'!$E$37</f>
        <v>0</v>
      </c>
      <c r="D55" s="24">
        <f>'Tariffs Inputs'!$F$37*'Tariffs Inputs'!$AA$37</f>
        <v>0</v>
      </c>
      <c r="E55" s="9">
        <f>B55*$H$46*'Tariffs Inputs'!$G$37</f>
        <v>72000</v>
      </c>
      <c r="F55" s="9">
        <f>B55*$I$46*'Tariffs Inputs'!$H$37</f>
        <v>3000</v>
      </c>
      <c r="G55" s="9">
        <f>B55*$J$46*'Tariffs Inputs'!$I$37</f>
        <v>9000</v>
      </c>
      <c r="H55" s="51">
        <f t="shared" si="8"/>
        <v>84000</v>
      </c>
      <c r="I55" s="11">
        <f>'Tariffs Inputs'!$O$37</f>
        <v>0</v>
      </c>
      <c r="J55" s="30">
        <f>'Tariffs Inputs'!$P$37*'Tariffs Inputs'!$AA$37</f>
        <v>0</v>
      </c>
      <c r="K55" s="11">
        <f>B55*$H$46*'Tariffs Inputs'!$Q$37</f>
        <v>30000</v>
      </c>
      <c r="L55" s="11">
        <f>B55*$I$46*'Tariffs Inputs'!$R$37</f>
        <v>6000</v>
      </c>
      <c r="M55" s="11">
        <f>B55*$J$46*'Tariffs Inputs'!$S$37</f>
        <v>8760</v>
      </c>
      <c r="N55" s="28">
        <f t="shared" si="9"/>
        <v>44760</v>
      </c>
      <c r="O55" s="75">
        <f>+N55-H55</f>
        <v>-39240</v>
      </c>
      <c r="P55" s="76">
        <f>+O55/H55</f>
        <v>-0.46714285714285714</v>
      </c>
    </row>
    <row r="56" spans="1:16" x14ac:dyDescent="0.3">
      <c r="B56" s="1"/>
      <c r="C56" s="2"/>
      <c r="D56" s="2"/>
      <c r="E56" s="2"/>
      <c r="F56" s="2"/>
      <c r="G56" s="2"/>
      <c r="H56" s="2"/>
      <c r="I56" s="2"/>
      <c r="J56" s="2"/>
      <c r="K56" s="3"/>
      <c r="L56" s="4"/>
      <c r="M56" s="4"/>
      <c r="N56" s="4"/>
      <c r="O56" s="4"/>
      <c r="P56" s="67"/>
    </row>
    <row r="58" spans="1:16" ht="14.4" customHeight="1" x14ac:dyDescent="0.3">
      <c r="C58" s="133"/>
      <c r="D58" s="134"/>
      <c r="E58" s="134"/>
      <c r="F58" s="236" t="s">
        <v>110</v>
      </c>
      <c r="G58" s="236"/>
      <c r="H58" s="52" t="s">
        <v>37</v>
      </c>
      <c r="I58" s="52" t="s">
        <v>38</v>
      </c>
      <c r="J58" s="49" t="s">
        <v>109</v>
      </c>
    </row>
    <row r="59" spans="1:16" x14ac:dyDescent="0.3">
      <c r="B59" s="6"/>
      <c r="C59" s="135" t="str">
        <f>"Low Season "&amp;'Tariffs Inputs'!C38&amp;" "&amp;'Tariffs Inputs'!D38&amp;" comparison"</f>
        <v>Low Season F TOU Tariff 6 comparison</v>
      </c>
      <c r="D59" s="6"/>
      <c r="E59" s="6"/>
      <c r="F59" s="237"/>
      <c r="G59" s="237"/>
      <c r="H59" s="136">
        <v>0.3</v>
      </c>
      <c r="I59" s="132">
        <v>0.3</v>
      </c>
      <c r="J59" s="137">
        <f>100%-(H59+I59)</f>
        <v>0.4</v>
      </c>
      <c r="K59" s="6"/>
      <c r="L59" s="6"/>
      <c r="M59" s="6"/>
      <c r="N59" s="6"/>
      <c r="O59" s="6"/>
      <c r="P59" s="6"/>
    </row>
    <row r="60" spans="1:16" ht="28.8" x14ac:dyDescent="0.3">
      <c r="B60" s="63" t="s">
        <v>3</v>
      </c>
      <c r="C60" s="144" t="str">
        <f>C3</f>
        <v>Year 1 Low Season</v>
      </c>
      <c r="D60" s="145"/>
      <c r="E60" s="145"/>
      <c r="F60" s="145"/>
      <c r="G60" s="145"/>
      <c r="H60" s="146"/>
      <c r="I60" s="144" t="str">
        <f>I3</f>
        <v>Year 2 Low Season</v>
      </c>
      <c r="J60" s="145"/>
      <c r="K60" s="145"/>
      <c r="L60" s="145"/>
      <c r="M60" s="145"/>
      <c r="N60" s="146"/>
      <c r="O60" s="148" t="s">
        <v>9</v>
      </c>
      <c r="P60" s="151" t="s">
        <v>10</v>
      </c>
    </row>
    <row r="61" spans="1:16" ht="43.2" x14ac:dyDescent="0.3">
      <c r="B61" s="69" t="s">
        <v>1</v>
      </c>
      <c r="C61" s="53" t="s">
        <v>6</v>
      </c>
      <c r="D61" s="65" t="s">
        <v>25</v>
      </c>
      <c r="E61" s="53" t="s">
        <v>106</v>
      </c>
      <c r="F61" s="53" t="s">
        <v>107</v>
      </c>
      <c r="G61" s="53" t="s">
        <v>108</v>
      </c>
      <c r="H61" s="53" t="s">
        <v>2</v>
      </c>
      <c r="I61" s="53" t="s">
        <v>6</v>
      </c>
      <c r="J61" s="65" t="s">
        <v>25</v>
      </c>
      <c r="K61" s="53" t="s">
        <v>106</v>
      </c>
      <c r="L61" s="53" t="s">
        <v>107</v>
      </c>
      <c r="M61" s="53" t="s">
        <v>108</v>
      </c>
      <c r="N61" s="65" t="s">
        <v>2</v>
      </c>
      <c r="O61" s="238"/>
      <c r="P61" s="150"/>
    </row>
    <row r="62" spans="1:16" x14ac:dyDescent="0.3">
      <c r="B62" s="71">
        <v>5000</v>
      </c>
      <c r="C62" s="9">
        <f>'Tariffs Inputs'!$E$38</f>
        <v>1167</v>
      </c>
      <c r="D62" s="24">
        <f>'Tariffs Inputs'!$F$38*'Tariffs Inputs'!$AA$38</f>
        <v>984</v>
      </c>
      <c r="E62" s="9">
        <f>B62*$H$59*'Tariffs Inputs'!$G$38</f>
        <v>5415</v>
      </c>
      <c r="F62" s="9">
        <f>B62*$I$59*'Tariffs Inputs'!$H$38</f>
        <v>1500</v>
      </c>
      <c r="G62" s="9">
        <f>B62*$J$59*'Tariffs Inputs'!$I$38</f>
        <v>1500</v>
      </c>
      <c r="H62" s="51">
        <f>SUM(C62:G62)</f>
        <v>10566</v>
      </c>
      <c r="I62" s="11">
        <f>'Tariffs Inputs'!$O$38</f>
        <v>1350</v>
      </c>
      <c r="J62" s="30">
        <f>'Tariffs Inputs'!$P$38*'Tariffs Inputs'!$AA$38</f>
        <v>900</v>
      </c>
      <c r="K62" s="11">
        <f>B62*$H$59*'Tariffs Inputs'!$Q$38</f>
        <v>3000</v>
      </c>
      <c r="L62" s="11">
        <f>B62*$I$59*'Tariffs Inputs'!$R$38</f>
        <v>3000</v>
      </c>
      <c r="M62" s="11">
        <f>B62*$J$59*'Tariffs Inputs'!$S$38</f>
        <v>1520</v>
      </c>
      <c r="N62" s="28">
        <f>SUM(I62:M62)</f>
        <v>9770</v>
      </c>
      <c r="O62" s="75">
        <f>+N62-H62</f>
        <v>-796</v>
      </c>
      <c r="P62" s="76">
        <f>+O62/H62</f>
        <v>-7.5335983342797647E-2</v>
      </c>
    </row>
    <row r="63" spans="1:16" x14ac:dyDescent="0.3">
      <c r="B63" s="72">
        <v>8000</v>
      </c>
      <c r="C63" s="9">
        <f>'Tariffs Inputs'!$E$38</f>
        <v>1167</v>
      </c>
      <c r="D63" s="24">
        <f>'Tariffs Inputs'!$F$38*'Tariffs Inputs'!$AA$38</f>
        <v>984</v>
      </c>
      <c r="E63" s="9">
        <f>B63*$H$59*'Tariffs Inputs'!$G$38</f>
        <v>8664</v>
      </c>
      <c r="F63" s="9">
        <f>B63*$I$59*'Tariffs Inputs'!$H$38</f>
        <v>2400</v>
      </c>
      <c r="G63" s="9">
        <f>B63*$J$59*'Tariffs Inputs'!$I$38</f>
        <v>2400</v>
      </c>
      <c r="H63" s="51">
        <f t="shared" ref="H63:H68" si="12">SUM(C63:G63)</f>
        <v>15615</v>
      </c>
      <c r="I63" s="11">
        <f>'Tariffs Inputs'!$O$38</f>
        <v>1350</v>
      </c>
      <c r="J63" s="30">
        <f>'Tariffs Inputs'!$P$38*'Tariffs Inputs'!$AA$38</f>
        <v>900</v>
      </c>
      <c r="K63" s="11">
        <f>B63*$H$59*'Tariffs Inputs'!$Q$38</f>
        <v>4800</v>
      </c>
      <c r="L63" s="11">
        <f>B63*$I$59*'Tariffs Inputs'!$R$38</f>
        <v>4800</v>
      </c>
      <c r="M63" s="11">
        <f>B63*$J$59*'Tariffs Inputs'!$S$38</f>
        <v>2432</v>
      </c>
      <c r="N63" s="28">
        <f t="shared" ref="N63:N68" si="13">SUM(I63:M63)</f>
        <v>14282</v>
      </c>
      <c r="O63" s="77">
        <f>+N63-H63</f>
        <v>-1333</v>
      </c>
      <c r="P63" s="79">
        <f>+O63/H63</f>
        <v>-8.5366634646173556E-2</v>
      </c>
    </row>
    <row r="64" spans="1:16" x14ac:dyDescent="0.3">
      <c r="B64" s="71">
        <v>10000</v>
      </c>
      <c r="C64" s="9">
        <f>'Tariffs Inputs'!$E$38</f>
        <v>1167</v>
      </c>
      <c r="D64" s="24">
        <f>'Tariffs Inputs'!$F$38*'Tariffs Inputs'!$AA$38</f>
        <v>984</v>
      </c>
      <c r="E64" s="9">
        <f>B64*$H$59*'Tariffs Inputs'!$G$38</f>
        <v>10830</v>
      </c>
      <c r="F64" s="9">
        <f>B64*$I$59*'Tariffs Inputs'!$H$38</f>
        <v>3000</v>
      </c>
      <c r="G64" s="9">
        <f>B64*$J$59*'Tariffs Inputs'!$I$38</f>
        <v>3000</v>
      </c>
      <c r="H64" s="51">
        <f t="shared" si="12"/>
        <v>18981</v>
      </c>
      <c r="I64" s="11">
        <f>'Tariffs Inputs'!$O$38</f>
        <v>1350</v>
      </c>
      <c r="J64" s="30">
        <f>'Tariffs Inputs'!$P$38*'Tariffs Inputs'!$AA$38</f>
        <v>900</v>
      </c>
      <c r="K64" s="11">
        <f>B64*$H$59*'Tariffs Inputs'!$Q$38</f>
        <v>6000</v>
      </c>
      <c r="L64" s="11">
        <f>B64*$I$59*'Tariffs Inputs'!$R$38</f>
        <v>6000</v>
      </c>
      <c r="M64" s="11">
        <f>B64*$J$59*'Tariffs Inputs'!$S$38</f>
        <v>3040</v>
      </c>
      <c r="N64" s="28">
        <f t="shared" si="13"/>
        <v>17290</v>
      </c>
      <c r="O64" s="75">
        <f>+N64-H64</f>
        <v>-1691</v>
      </c>
      <c r="P64" s="76">
        <f>+O64/H64</f>
        <v>-8.9089089089089094E-2</v>
      </c>
    </row>
    <row r="65" spans="2:16" x14ac:dyDescent="0.3">
      <c r="B65" s="72">
        <v>15000</v>
      </c>
      <c r="C65" s="9">
        <f>'Tariffs Inputs'!$E$38</f>
        <v>1167</v>
      </c>
      <c r="D65" s="24">
        <f>'Tariffs Inputs'!$F$38*'Tariffs Inputs'!$AA$38</f>
        <v>984</v>
      </c>
      <c r="E65" s="9">
        <f>B65*$H$59*'Tariffs Inputs'!$G$38</f>
        <v>16245</v>
      </c>
      <c r="F65" s="9">
        <f>B65*$I$59*'Tariffs Inputs'!$H$38</f>
        <v>4500</v>
      </c>
      <c r="G65" s="9">
        <f>B65*$J$59*'Tariffs Inputs'!$I$38</f>
        <v>4500</v>
      </c>
      <c r="H65" s="51">
        <f t="shared" si="12"/>
        <v>27396</v>
      </c>
      <c r="I65" s="11">
        <f>'Tariffs Inputs'!$O$38</f>
        <v>1350</v>
      </c>
      <c r="J65" s="30">
        <f>'Tariffs Inputs'!$P$38*'Tariffs Inputs'!$AA$38</f>
        <v>900</v>
      </c>
      <c r="K65" s="11">
        <f>B65*$H$59*'Tariffs Inputs'!$Q$38</f>
        <v>9000</v>
      </c>
      <c r="L65" s="11">
        <f>B65*$I$59*'Tariffs Inputs'!$R$38</f>
        <v>9000</v>
      </c>
      <c r="M65" s="11">
        <f>B65*$J$59*'Tariffs Inputs'!$S$38</f>
        <v>4560</v>
      </c>
      <c r="N65" s="28">
        <f t="shared" si="13"/>
        <v>24810</v>
      </c>
      <c r="O65" s="75">
        <f t="shared" ref="O65:O66" si="14">+N65-H65</f>
        <v>-2586</v>
      </c>
      <c r="P65" s="76">
        <f t="shared" ref="P65:P66" si="15">+O65/H65</f>
        <v>-9.4393342093736315E-2</v>
      </c>
    </row>
    <row r="66" spans="2:16" x14ac:dyDescent="0.3">
      <c r="B66" s="73">
        <v>20000</v>
      </c>
      <c r="C66" s="9">
        <f>'Tariffs Inputs'!$E$38</f>
        <v>1167</v>
      </c>
      <c r="D66" s="24">
        <f>'Tariffs Inputs'!$F$38*'Tariffs Inputs'!$AA$38</f>
        <v>984</v>
      </c>
      <c r="E66" s="9">
        <f>B66*$H$59*'Tariffs Inputs'!$G$38</f>
        <v>21660</v>
      </c>
      <c r="F66" s="9">
        <f>B66*$I$59*'Tariffs Inputs'!$H$38</f>
        <v>6000</v>
      </c>
      <c r="G66" s="9">
        <f>B66*$J$59*'Tariffs Inputs'!$I$38</f>
        <v>6000</v>
      </c>
      <c r="H66" s="51">
        <f t="shared" si="12"/>
        <v>35811</v>
      </c>
      <c r="I66" s="11">
        <f>'Tariffs Inputs'!$O$38</f>
        <v>1350</v>
      </c>
      <c r="J66" s="30">
        <f>'Tariffs Inputs'!$P$38*'Tariffs Inputs'!$AA$38</f>
        <v>900</v>
      </c>
      <c r="K66" s="11">
        <f>B66*$H$59*'Tariffs Inputs'!$Q$38</f>
        <v>12000</v>
      </c>
      <c r="L66" s="11">
        <f>B66*$I$59*'Tariffs Inputs'!$R$38</f>
        <v>12000</v>
      </c>
      <c r="M66" s="11">
        <f>B66*$J$59*'Tariffs Inputs'!$S$38</f>
        <v>6080</v>
      </c>
      <c r="N66" s="28">
        <f t="shared" si="13"/>
        <v>32330</v>
      </c>
      <c r="O66" s="75">
        <f t="shared" si="14"/>
        <v>-3481</v>
      </c>
      <c r="P66" s="76">
        <f t="shared" si="15"/>
        <v>-9.7204769484236689E-2</v>
      </c>
    </row>
    <row r="67" spans="2:16" x14ac:dyDescent="0.3">
      <c r="B67" s="73">
        <v>25000</v>
      </c>
      <c r="C67" s="9">
        <f>'Tariffs Inputs'!$E$38</f>
        <v>1167</v>
      </c>
      <c r="D67" s="24">
        <f>'Tariffs Inputs'!$F$38*'Tariffs Inputs'!$AA$38</f>
        <v>984</v>
      </c>
      <c r="E67" s="9">
        <f>B67*$H$59*'Tariffs Inputs'!$G$38</f>
        <v>27075</v>
      </c>
      <c r="F67" s="9">
        <f>B67*$I$59*'Tariffs Inputs'!$H$38</f>
        <v>7500</v>
      </c>
      <c r="G67" s="9">
        <f>B67*$J$59*'Tariffs Inputs'!$I$38</f>
        <v>7500</v>
      </c>
      <c r="H67" s="51">
        <f t="shared" si="12"/>
        <v>44226</v>
      </c>
      <c r="I67" s="11">
        <f>'Tariffs Inputs'!$O$38</f>
        <v>1350</v>
      </c>
      <c r="J67" s="30">
        <f>'Tariffs Inputs'!$P$38*'Tariffs Inputs'!$AA$38</f>
        <v>900</v>
      </c>
      <c r="K67" s="11">
        <f>B67*$H$59*'Tariffs Inputs'!$Q$38</f>
        <v>15000</v>
      </c>
      <c r="L67" s="11">
        <f>B67*$I$59*'Tariffs Inputs'!$R$38</f>
        <v>15000</v>
      </c>
      <c r="M67" s="11">
        <f>B67*$J$59*'Tariffs Inputs'!$S$38</f>
        <v>7600</v>
      </c>
      <c r="N67" s="28">
        <f t="shared" si="13"/>
        <v>39850</v>
      </c>
      <c r="O67" s="139">
        <f>+N67-H67</f>
        <v>-4376</v>
      </c>
      <c r="P67" s="83">
        <f>+O67/H67</f>
        <v>-9.8946321168543391E-2</v>
      </c>
    </row>
    <row r="68" spans="2:16" x14ac:dyDescent="0.3">
      <c r="B68" s="124">
        <v>30000</v>
      </c>
      <c r="C68" s="9">
        <f>'Tariffs Inputs'!$E$38</f>
        <v>1167</v>
      </c>
      <c r="D68" s="24">
        <f>'Tariffs Inputs'!$F$38*'Tariffs Inputs'!$AA$38</f>
        <v>984</v>
      </c>
      <c r="E68" s="9">
        <f>B68*$H$59*'Tariffs Inputs'!$G$38</f>
        <v>32490</v>
      </c>
      <c r="F68" s="9">
        <f>B68*$I$59*'Tariffs Inputs'!$H$38</f>
        <v>9000</v>
      </c>
      <c r="G68" s="9">
        <f>B68*$J$59*'Tariffs Inputs'!$I$38</f>
        <v>9000</v>
      </c>
      <c r="H68" s="51">
        <f t="shared" si="12"/>
        <v>52641</v>
      </c>
      <c r="I68" s="11">
        <f>'Tariffs Inputs'!$O$38</f>
        <v>1350</v>
      </c>
      <c r="J68" s="30">
        <f>'Tariffs Inputs'!$P$38*'Tariffs Inputs'!$AA$38</f>
        <v>900</v>
      </c>
      <c r="K68" s="11">
        <f>B68*$H$59*'Tariffs Inputs'!$Q$38</f>
        <v>18000</v>
      </c>
      <c r="L68" s="11">
        <f>B68*$I$59*'Tariffs Inputs'!$R$38</f>
        <v>18000</v>
      </c>
      <c r="M68" s="11">
        <f>B68*$J$59*'Tariffs Inputs'!$S$38</f>
        <v>9120</v>
      </c>
      <c r="N68" s="28">
        <f t="shared" si="13"/>
        <v>47370</v>
      </c>
      <c r="O68" s="75">
        <f>+N68-H68</f>
        <v>-5271</v>
      </c>
      <c r="P68" s="76">
        <f>+O68/H68</f>
        <v>-0.10013107653729983</v>
      </c>
    </row>
    <row r="69" spans="2:16" x14ac:dyDescent="0.3">
      <c r="B69" s="1"/>
      <c r="C69" s="2"/>
      <c r="D69" s="2"/>
      <c r="E69" s="2"/>
      <c r="F69" s="2"/>
      <c r="G69" s="2"/>
      <c r="H69" s="2"/>
      <c r="I69" s="2"/>
      <c r="J69" s="2"/>
      <c r="K69" s="3"/>
      <c r="L69" s="4"/>
      <c r="M69" s="4"/>
      <c r="N69" s="4"/>
      <c r="O69" s="4"/>
      <c r="P69" s="67"/>
    </row>
    <row r="71" spans="2:16" ht="14.4" customHeight="1" x14ac:dyDescent="0.3">
      <c r="C71" s="133"/>
      <c r="D71" s="134"/>
      <c r="E71" s="134"/>
      <c r="F71" s="236" t="s">
        <v>110</v>
      </c>
      <c r="G71" s="236"/>
      <c r="H71" s="52" t="s">
        <v>37</v>
      </c>
      <c r="I71" s="52" t="s">
        <v>38</v>
      </c>
      <c r="J71" s="49" t="s">
        <v>109</v>
      </c>
    </row>
    <row r="72" spans="2:16" x14ac:dyDescent="0.3">
      <c r="B72" s="6"/>
      <c r="C72" s="135" t="str">
        <f>"Low Season "&amp;'Tariffs Inputs'!C39&amp;" "&amp;'Tariffs Inputs'!D39&amp;" comparison"</f>
        <v>Low Season G TOU Tariff 7 comparison</v>
      </c>
      <c r="D72" s="6"/>
      <c r="E72" s="6"/>
      <c r="F72" s="237"/>
      <c r="G72" s="237"/>
      <c r="H72" s="136">
        <v>0.2</v>
      </c>
      <c r="I72" s="132">
        <v>0.3</v>
      </c>
      <c r="J72" s="137">
        <f>100%-(H72+I72)</f>
        <v>0.5</v>
      </c>
      <c r="K72" s="6"/>
      <c r="L72" s="6"/>
      <c r="M72" s="6"/>
      <c r="N72" s="6"/>
      <c r="O72" s="6"/>
      <c r="P72" s="6"/>
    </row>
    <row r="73" spans="2:16" ht="28.8" x14ac:dyDescent="0.3">
      <c r="B73" s="63" t="s">
        <v>3</v>
      </c>
      <c r="C73" s="144" t="str">
        <f>C3</f>
        <v>Year 1 Low Season</v>
      </c>
      <c r="D73" s="145"/>
      <c r="E73" s="145"/>
      <c r="F73" s="145"/>
      <c r="G73" s="145"/>
      <c r="H73" s="146"/>
      <c r="I73" s="144" t="str">
        <f>I3</f>
        <v>Year 2 Low Season</v>
      </c>
      <c r="J73" s="145"/>
      <c r="K73" s="145"/>
      <c r="L73" s="145"/>
      <c r="M73" s="145"/>
      <c r="N73" s="146"/>
      <c r="O73" s="148" t="s">
        <v>9</v>
      </c>
      <c r="P73" s="151" t="s">
        <v>10</v>
      </c>
    </row>
    <row r="74" spans="2:16" ht="43.2" x14ac:dyDescent="0.3">
      <c r="B74" s="69" t="s">
        <v>1</v>
      </c>
      <c r="C74" s="53" t="s">
        <v>6</v>
      </c>
      <c r="D74" s="65" t="s">
        <v>25</v>
      </c>
      <c r="E74" s="53" t="s">
        <v>106</v>
      </c>
      <c r="F74" s="53" t="s">
        <v>107</v>
      </c>
      <c r="G74" s="53" t="s">
        <v>108</v>
      </c>
      <c r="H74" s="53" t="s">
        <v>2</v>
      </c>
      <c r="I74" s="53" t="s">
        <v>6</v>
      </c>
      <c r="J74" s="65" t="s">
        <v>25</v>
      </c>
      <c r="K74" s="53" t="s">
        <v>106</v>
      </c>
      <c r="L74" s="53" t="s">
        <v>107</v>
      </c>
      <c r="M74" s="53" t="s">
        <v>108</v>
      </c>
      <c r="N74" s="65" t="s">
        <v>2</v>
      </c>
      <c r="O74" s="238"/>
      <c r="P74" s="150"/>
    </row>
    <row r="75" spans="2:16" x14ac:dyDescent="0.3">
      <c r="B75" s="71">
        <v>5000</v>
      </c>
      <c r="C75" s="9">
        <f>'Tariffs Inputs'!$E$39</f>
        <v>1200</v>
      </c>
      <c r="D75" s="24">
        <f>'Tariffs Inputs'!$F$39*'Tariffs Inputs'!$AA$39</f>
        <v>1246</v>
      </c>
      <c r="E75" s="9">
        <f>B75*$H$72*'Tariffs Inputs'!$G$39</f>
        <v>2600</v>
      </c>
      <c r="F75" s="9">
        <f>B75*$I$72*'Tariffs Inputs'!$H$39</f>
        <v>1500</v>
      </c>
      <c r="G75" s="9">
        <f>B75*$J$72*'Tariffs Inputs'!$I$39</f>
        <v>1875</v>
      </c>
      <c r="H75" s="51">
        <f>SUM(C75:G75)</f>
        <v>8421</v>
      </c>
      <c r="I75" s="11">
        <f>'Tariffs Inputs'!$O$39</f>
        <v>2100</v>
      </c>
      <c r="J75" s="30">
        <f>'Tariffs Inputs'!$P$39*'Tariffs Inputs'!$AA$39</f>
        <v>910</v>
      </c>
      <c r="K75" s="11">
        <f>B75*$H$72*'Tariffs Inputs'!$Q$39</f>
        <v>2000</v>
      </c>
      <c r="L75" s="11">
        <f>B75*$I$72*'Tariffs Inputs'!$R$39</f>
        <v>3000</v>
      </c>
      <c r="M75" s="11">
        <f>B75*$J$72*'Tariffs Inputs'!$S$39</f>
        <v>1925</v>
      </c>
      <c r="N75" s="28">
        <f>SUM(I75:M75)</f>
        <v>9935</v>
      </c>
      <c r="O75" s="75">
        <f>+N75-H75</f>
        <v>1514</v>
      </c>
      <c r="P75" s="76">
        <f>+O75/H75</f>
        <v>0.179788623678898</v>
      </c>
    </row>
    <row r="76" spans="2:16" x14ac:dyDescent="0.3">
      <c r="B76" s="72">
        <v>8000</v>
      </c>
      <c r="C76" s="9">
        <f>'Tariffs Inputs'!$E$39</f>
        <v>1200</v>
      </c>
      <c r="D76" s="24">
        <f>'Tariffs Inputs'!$F$39*'Tariffs Inputs'!$AA$39</f>
        <v>1246</v>
      </c>
      <c r="E76" s="9">
        <f>B76*$H$72*'Tariffs Inputs'!$G$39</f>
        <v>4160</v>
      </c>
      <c r="F76" s="9">
        <f>B76*$I$72*'Tariffs Inputs'!$H$39</f>
        <v>2400</v>
      </c>
      <c r="G76" s="9">
        <f>B76*$J$72*'Tariffs Inputs'!$I$39</f>
        <v>3000</v>
      </c>
      <c r="H76" s="51">
        <f t="shared" ref="H76:H81" si="16">SUM(C76:G76)</f>
        <v>12006</v>
      </c>
      <c r="I76" s="11">
        <f>'Tariffs Inputs'!$O$39</f>
        <v>2100</v>
      </c>
      <c r="J76" s="30">
        <f>'Tariffs Inputs'!$P$39*'Tariffs Inputs'!$AA$39</f>
        <v>910</v>
      </c>
      <c r="K76" s="11">
        <f>B76*$H$72*'Tariffs Inputs'!$Q$39</f>
        <v>3200</v>
      </c>
      <c r="L76" s="11">
        <f>B76*$I$72*'Tariffs Inputs'!$R$39</f>
        <v>4800</v>
      </c>
      <c r="M76" s="11">
        <f>B76*$J$72*'Tariffs Inputs'!$S$39</f>
        <v>3080</v>
      </c>
      <c r="N76" s="28">
        <f t="shared" ref="N76:N81" si="17">SUM(I76:M76)</f>
        <v>14090</v>
      </c>
      <c r="O76" s="77">
        <f>+N76-H76</f>
        <v>2084</v>
      </c>
      <c r="P76" s="79">
        <f>+O76/H76</f>
        <v>0.17357987672830252</v>
      </c>
    </row>
    <row r="77" spans="2:16" x14ac:dyDescent="0.3">
      <c r="B77" s="71">
        <v>10000</v>
      </c>
      <c r="C77" s="9">
        <f>'Tariffs Inputs'!$E$39</f>
        <v>1200</v>
      </c>
      <c r="D77" s="24">
        <f>'Tariffs Inputs'!$F$39*'Tariffs Inputs'!$AA$39</f>
        <v>1246</v>
      </c>
      <c r="E77" s="9">
        <f>B77*$H$72*'Tariffs Inputs'!$G$39</f>
        <v>5200</v>
      </c>
      <c r="F77" s="9">
        <f>B77*$I$72*'Tariffs Inputs'!$H$39</f>
        <v>3000</v>
      </c>
      <c r="G77" s="9">
        <f>B77*$J$72*'Tariffs Inputs'!$I$39</f>
        <v>3750</v>
      </c>
      <c r="H77" s="51">
        <f t="shared" si="16"/>
        <v>14396</v>
      </c>
      <c r="I77" s="11">
        <f>'Tariffs Inputs'!$O$39</f>
        <v>2100</v>
      </c>
      <c r="J77" s="30">
        <f>'Tariffs Inputs'!$P$39*'Tariffs Inputs'!$AA$39</f>
        <v>910</v>
      </c>
      <c r="K77" s="11">
        <f>B77*$H$72*'Tariffs Inputs'!$Q$39</f>
        <v>4000</v>
      </c>
      <c r="L77" s="11">
        <f>B77*$I$72*'Tariffs Inputs'!$R$39</f>
        <v>6000</v>
      </c>
      <c r="M77" s="11">
        <f>B77*$J$72*'Tariffs Inputs'!$S$39</f>
        <v>3850</v>
      </c>
      <c r="N77" s="28">
        <f t="shared" si="17"/>
        <v>16860</v>
      </c>
      <c r="O77" s="75">
        <f>+N77-H77</f>
        <v>2464</v>
      </c>
      <c r="P77" s="76">
        <f>+O77/H77</f>
        <v>0.171158655181995</v>
      </c>
    </row>
    <row r="78" spans="2:16" x14ac:dyDescent="0.3">
      <c r="B78" s="72">
        <v>15000</v>
      </c>
      <c r="C78" s="9">
        <f>'Tariffs Inputs'!$E$39</f>
        <v>1200</v>
      </c>
      <c r="D78" s="24">
        <f>'Tariffs Inputs'!$F$39*'Tariffs Inputs'!$AA$39</f>
        <v>1246</v>
      </c>
      <c r="E78" s="9">
        <f>B78*$H$72*'Tariffs Inputs'!$G$39</f>
        <v>7800</v>
      </c>
      <c r="F78" s="9">
        <f>B78*$I$72*'Tariffs Inputs'!$H$39</f>
        <v>4500</v>
      </c>
      <c r="G78" s="9">
        <f>B78*$J$72*'Tariffs Inputs'!$I$39</f>
        <v>5625</v>
      </c>
      <c r="H78" s="51">
        <f t="shared" si="16"/>
        <v>20371</v>
      </c>
      <c r="I78" s="11">
        <f>'Tariffs Inputs'!$O$39</f>
        <v>2100</v>
      </c>
      <c r="J78" s="30">
        <f>'Tariffs Inputs'!$P$39*'Tariffs Inputs'!$AA$39</f>
        <v>910</v>
      </c>
      <c r="K78" s="11">
        <f>B78*$H$72*'Tariffs Inputs'!$Q$39</f>
        <v>6000</v>
      </c>
      <c r="L78" s="11">
        <f>B78*$I$72*'Tariffs Inputs'!$R$39</f>
        <v>9000</v>
      </c>
      <c r="M78" s="11">
        <f>B78*$J$72*'Tariffs Inputs'!$S$39</f>
        <v>5775</v>
      </c>
      <c r="N78" s="28">
        <f t="shared" si="17"/>
        <v>23785</v>
      </c>
      <c r="O78" s="75">
        <f t="shared" ref="O78:O79" si="18">+N78-H78</f>
        <v>3414</v>
      </c>
      <c r="P78" s="76">
        <f t="shared" ref="P78:P79" si="19">+O78/H78</f>
        <v>0.16759118354523586</v>
      </c>
    </row>
    <row r="79" spans="2:16" x14ac:dyDescent="0.3">
      <c r="B79" s="73">
        <v>20000</v>
      </c>
      <c r="C79" s="9">
        <f>'Tariffs Inputs'!$E$39</f>
        <v>1200</v>
      </c>
      <c r="D79" s="24">
        <f>'Tariffs Inputs'!$F$39*'Tariffs Inputs'!$AA$39</f>
        <v>1246</v>
      </c>
      <c r="E79" s="9">
        <f>B79*$H$72*'Tariffs Inputs'!$G$39</f>
        <v>10400</v>
      </c>
      <c r="F79" s="9">
        <f>B79*$I$72*'Tariffs Inputs'!$H$39</f>
        <v>6000</v>
      </c>
      <c r="G79" s="9">
        <f>B79*$J$72*'Tariffs Inputs'!$I$39</f>
        <v>7500</v>
      </c>
      <c r="H79" s="51">
        <f t="shared" si="16"/>
        <v>26346</v>
      </c>
      <c r="I79" s="11">
        <f>'Tariffs Inputs'!$O$39</f>
        <v>2100</v>
      </c>
      <c r="J79" s="30">
        <f>'Tariffs Inputs'!$P$39*'Tariffs Inputs'!$AA$39</f>
        <v>910</v>
      </c>
      <c r="K79" s="11">
        <f>B79*$H$72*'Tariffs Inputs'!$Q$39</f>
        <v>8000</v>
      </c>
      <c r="L79" s="11">
        <f>B79*$I$72*'Tariffs Inputs'!$R$39</f>
        <v>12000</v>
      </c>
      <c r="M79" s="11">
        <f>B79*$J$72*'Tariffs Inputs'!$S$39</f>
        <v>7700</v>
      </c>
      <c r="N79" s="28">
        <f t="shared" si="17"/>
        <v>30710</v>
      </c>
      <c r="O79" s="75">
        <f t="shared" si="18"/>
        <v>4364</v>
      </c>
      <c r="P79" s="76">
        <f t="shared" si="19"/>
        <v>0.16564184316404768</v>
      </c>
    </row>
    <row r="80" spans="2:16" x14ac:dyDescent="0.3">
      <c r="B80" s="73">
        <v>25000</v>
      </c>
      <c r="C80" s="9">
        <f>'Tariffs Inputs'!$E$39</f>
        <v>1200</v>
      </c>
      <c r="D80" s="24">
        <f>'Tariffs Inputs'!$F$39*'Tariffs Inputs'!$AA$39</f>
        <v>1246</v>
      </c>
      <c r="E80" s="9">
        <f>B80*$H$72*'Tariffs Inputs'!$G$39</f>
        <v>13000</v>
      </c>
      <c r="F80" s="9">
        <f>B80*$I$72*'Tariffs Inputs'!$H$39</f>
        <v>7500</v>
      </c>
      <c r="G80" s="9">
        <f>B80*$J$72*'Tariffs Inputs'!$I$39</f>
        <v>9375</v>
      </c>
      <c r="H80" s="51">
        <f t="shared" si="16"/>
        <v>32321</v>
      </c>
      <c r="I80" s="11">
        <f>'Tariffs Inputs'!$O$39</f>
        <v>2100</v>
      </c>
      <c r="J80" s="30">
        <f>'Tariffs Inputs'!$P$39*'Tariffs Inputs'!$AA$39</f>
        <v>910</v>
      </c>
      <c r="K80" s="11">
        <f>B80*$H$72*'Tariffs Inputs'!$Q$39</f>
        <v>10000</v>
      </c>
      <c r="L80" s="11">
        <f>B80*$I$72*'Tariffs Inputs'!$R$39</f>
        <v>15000</v>
      </c>
      <c r="M80" s="11">
        <f>B80*$J$72*'Tariffs Inputs'!$S$39</f>
        <v>9625</v>
      </c>
      <c r="N80" s="28">
        <f t="shared" si="17"/>
        <v>37635</v>
      </c>
      <c r="O80" s="139">
        <f>+N80-H80</f>
        <v>5314</v>
      </c>
      <c r="P80" s="83">
        <f>+O80/H80</f>
        <v>0.16441322978868228</v>
      </c>
    </row>
    <row r="81" spans="2:16" x14ac:dyDescent="0.3">
      <c r="B81" s="124">
        <v>30000</v>
      </c>
      <c r="C81" s="9">
        <f>'Tariffs Inputs'!$E$39</f>
        <v>1200</v>
      </c>
      <c r="D81" s="24">
        <f>'Tariffs Inputs'!$F$39*'Tariffs Inputs'!$AA$39</f>
        <v>1246</v>
      </c>
      <c r="E81" s="9">
        <f>B81*$H$72*'Tariffs Inputs'!$G$39</f>
        <v>15600</v>
      </c>
      <c r="F81" s="9">
        <f>B81*$I$72*'Tariffs Inputs'!$H$39</f>
        <v>9000</v>
      </c>
      <c r="G81" s="9">
        <f>B81*$J$72*'Tariffs Inputs'!$I$39</f>
        <v>11250</v>
      </c>
      <c r="H81" s="51">
        <f t="shared" si="16"/>
        <v>38296</v>
      </c>
      <c r="I81" s="11">
        <f>'Tariffs Inputs'!$O$39</f>
        <v>2100</v>
      </c>
      <c r="J81" s="30">
        <f>'Tariffs Inputs'!$P$39*'Tariffs Inputs'!$AA$39</f>
        <v>910</v>
      </c>
      <c r="K81" s="11">
        <f>B81*$H$72*'Tariffs Inputs'!$Q$39</f>
        <v>12000</v>
      </c>
      <c r="L81" s="11">
        <f>B81*$I$72*'Tariffs Inputs'!$R$39</f>
        <v>18000</v>
      </c>
      <c r="M81" s="11">
        <f>B81*$J$72*'Tariffs Inputs'!$S$39</f>
        <v>11550</v>
      </c>
      <c r="N81" s="28">
        <f t="shared" si="17"/>
        <v>44560</v>
      </c>
      <c r="O81" s="75">
        <f>+N81-H81</f>
        <v>6264</v>
      </c>
      <c r="P81" s="76">
        <f>+O81/H81</f>
        <v>0.16356799665761437</v>
      </c>
    </row>
    <row r="82" spans="2:16" x14ac:dyDescent="0.3">
      <c r="B82" s="1"/>
      <c r="C82" s="2"/>
      <c r="D82" s="2"/>
      <c r="E82" s="2"/>
      <c r="F82" s="2"/>
      <c r="G82" s="2"/>
      <c r="H82" s="2"/>
      <c r="I82" s="2"/>
      <c r="J82" s="2"/>
      <c r="K82" s="3"/>
      <c r="L82" s="4"/>
      <c r="M82" s="4"/>
      <c r="N82" s="4"/>
      <c r="O82" s="4"/>
      <c r="P82" s="67"/>
    </row>
    <row r="84" spans="2:16" ht="14.4" customHeight="1" x14ac:dyDescent="0.3">
      <c r="C84" s="133"/>
      <c r="D84" s="134"/>
      <c r="E84" s="134"/>
      <c r="F84" s="236" t="s">
        <v>110</v>
      </c>
      <c r="G84" s="236"/>
      <c r="H84" s="52" t="s">
        <v>37</v>
      </c>
      <c r="I84" s="52" t="s">
        <v>38</v>
      </c>
      <c r="J84" s="49" t="s">
        <v>109</v>
      </c>
    </row>
    <row r="85" spans="2:16" x14ac:dyDescent="0.3">
      <c r="B85" s="6"/>
      <c r="C85" s="135" t="str">
        <f>"Low Season "&amp;'Tariffs Inputs'!C40&amp;" "&amp;'Tariffs Inputs'!D40&amp;" comparison"</f>
        <v>Low Season H TOU Tariff 8 comparison</v>
      </c>
      <c r="D85" s="6"/>
      <c r="E85" s="6"/>
      <c r="F85" s="237"/>
      <c r="G85" s="237"/>
      <c r="H85" s="136">
        <v>0.1</v>
      </c>
      <c r="I85" s="132">
        <v>0.05</v>
      </c>
      <c r="J85" s="137">
        <f>100%-(H85+I85)</f>
        <v>0.85</v>
      </c>
      <c r="K85" s="6"/>
      <c r="L85" s="6"/>
      <c r="M85" s="6"/>
      <c r="N85" s="6"/>
      <c r="O85" s="6"/>
      <c r="P85" s="6"/>
    </row>
    <row r="86" spans="2:16" ht="28.8" x14ac:dyDescent="0.3">
      <c r="B86" s="63" t="s">
        <v>3</v>
      </c>
      <c r="C86" s="144" t="str">
        <f>C3</f>
        <v>Year 1 Low Season</v>
      </c>
      <c r="D86" s="145"/>
      <c r="E86" s="145"/>
      <c r="F86" s="145"/>
      <c r="G86" s="145"/>
      <c r="H86" s="146"/>
      <c r="I86" s="144" t="str">
        <f>I3</f>
        <v>Year 2 Low Season</v>
      </c>
      <c r="J86" s="145"/>
      <c r="K86" s="145"/>
      <c r="L86" s="145"/>
      <c r="M86" s="145"/>
      <c r="N86" s="146"/>
      <c r="O86" s="148" t="s">
        <v>9</v>
      </c>
      <c r="P86" s="151" t="s">
        <v>10</v>
      </c>
    </row>
    <row r="87" spans="2:16" ht="43.2" x14ac:dyDescent="0.3">
      <c r="B87" s="69" t="s">
        <v>1</v>
      </c>
      <c r="C87" s="53" t="s">
        <v>6</v>
      </c>
      <c r="D87" s="65" t="s">
        <v>25</v>
      </c>
      <c r="E87" s="53" t="s">
        <v>106</v>
      </c>
      <c r="F87" s="53" t="s">
        <v>107</v>
      </c>
      <c r="G87" s="53" t="s">
        <v>108</v>
      </c>
      <c r="H87" s="53" t="s">
        <v>2</v>
      </c>
      <c r="I87" s="53" t="s">
        <v>6</v>
      </c>
      <c r="J87" s="65" t="s">
        <v>25</v>
      </c>
      <c r="K87" s="53" t="s">
        <v>106</v>
      </c>
      <c r="L87" s="53" t="s">
        <v>107</v>
      </c>
      <c r="M87" s="53" t="s">
        <v>108</v>
      </c>
      <c r="N87" s="65" t="s">
        <v>2</v>
      </c>
      <c r="O87" s="238"/>
      <c r="P87" s="150"/>
    </row>
    <row r="88" spans="2:16" x14ac:dyDescent="0.3">
      <c r="B88" s="71">
        <v>5000</v>
      </c>
      <c r="C88" s="9">
        <f>'Tariffs Inputs'!$E$40</f>
        <v>2784</v>
      </c>
      <c r="D88" s="24">
        <f>'Tariffs Inputs'!$F$40*'Tariffs Inputs'!$AA$40</f>
        <v>1072</v>
      </c>
      <c r="E88" s="9">
        <f>B88*$H$85*'Tariffs Inputs'!$G$40</f>
        <v>805</v>
      </c>
      <c r="F88" s="9">
        <f>B88*$I$85*'Tariffs Inputs'!$H$40</f>
        <v>250</v>
      </c>
      <c r="G88" s="9">
        <f>B88*$J$85*'Tariffs Inputs'!$I$40</f>
        <v>3187.5</v>
      </c>
      <c r="H88" s="51">
        <f>SUM(C88:G88)</f>
        <v>8098.5</v>
      </c>
      <c r="I88" s="11">
        <f>'Tariffs Inputs'!$O$40</f>
        <v>2200</v>
      </c>
      <c r="J88" s="30">
        <f>'Tariffs Inputs'!$P$40*'Tariffs Inputs'!$AA$40</f>
        <v>1576</v>
      </c>
      <c r="K88" s="11">
        <f>B88*$H$85*'Tariffs Inputs'!$Q$40</f>
        <v>1000</v>
      </c>
      <c r="L88" s="11">
        <f>B88*$I$85*'Tariffs Inputs'!$R$40</f>
        <v>500</v>
      </c>
      <c r="M88" s="11">
        <f>B88*$J$85*'Tariffs Inputs'!$S$40</f>
        <v>3400</v>
      </c>
      <c r="N88" s="28">
        <f>SUM(I88:M88)</f>
        <v>8676</v>
      </c>
      <c r="O88" s="75">
        <f>+N88-H88</f>
        <v>577.5</v>
      </c>
      <c r="P88" s="76">
        <f>+O88/H88</f>
        <v>7.1309501759585114E-2</v>
      </c>
    </row>
    <row r="89" spans="2:16" x14ac:dyDescent="0.3">
      <c r="B89" s="72">
        <v>8000</v>
      </c>
      <c r="C89" s="9">
        <f>'Tariffs Inputs'!$E$40</f>
        <v>2784</v>
      </c>
      <c r="D89" s="24">
        <f>'Tariffs Inputs'!$F$40*'Tariffs Inputs'!$AA$40</f>
        <v>1072</v>
      </c>
      <c r="E89" s="9">
        <f>B89*$H$85*'Tariffs Inputs'!$G$40</f>
        <v>1288</v>
      </c>
      <c r="F89" s="9">
        <f>B89*$I$85*'Tariffs Inputs'!$H$40</f>
        <v>400</v>
      </c>
      <c r="G89" s="9">
        <f>B89*$J$85*'Tariffs Inputs'!$I$40</f>
        <v>5100</v>
      </c>
      <c r="H89" s="51">
        <f t="shared" ref="H89:H94" si="20">SUM(C89:G89)</f>
        <v>10644</v>
      </c>
      <c r="I89" s="11">
        <f>'Tariffs Inputs'!$O$40</f>
        <v>2200</v>
      </c>
      <c r="J89" s="30">
        <f>'Tariffs Inputs'!$P$40*'Tariffs Inputs'!$AA$40</f>
        <v>1576</v>
      </c>
      <c r="K89" s="11">
        <f>B89*$H$85*'Tariffs Inputs'!$Q$40</f>
        <v>1600</v>
      </c>
      <c r="L89" s="11">
        <f>B89*$I$85*'Tariffs Inputs'!$R$40</f>
        <v>800</v>
      </c>
      <c r="M89" s="11">
        <f>B89*$J$85*'Tariffs Inputs'!$S$40</f>
        <v>5440</v>
      </c>
      <c r="N89" s="28">
        <f t="shared" ref="N89:N94" si="21">SUM(I89:M89)</f>
        <v>11616</v>
      </c>
      <c r="O89" s="77">
        <f>+N89-H89</f>
        <v>972</v>
      </c>
      <c r="P89" s="79">
        <f>+O89/H89</f>
        <v>9.1319052987598653E-2</v>
      </c>
    </row>
    <row r="90" spans="2:16" x14ac:dyDescent="0.3">
      <c r="B90" s="71">
        <v>10000</v>
      </c>
      <c r="C90" s="9">
        <f>'Tariffs Inputs'!$E$40</f>
        <v>2784</v>
      </c>
      <c r="D90" s="24">
        <f>'Tariffs Inputs'!$F$40*'Tariffs Inputs'!$AA$40</f>
        <v>1072</v>
      </c>
      <c r="E90" s="9">
        <f>B90*$H$85*'Tariffs Inputs'!$G$40</f>
        <v>1610</v>
      </c>
      <c r="F90" s="9">
        <f>B90*$I$85*'Tariffs Inputs'!$H$40</f>
        <v>500</v>
      </c>
      <c r="G90" s="9">
        <f>B90*$J$85*'Tariffs Inputs'!$I$40</f>
        <v>6375</v>
      </c>
      <c r="H90" s="51">
        <f t="shared" si="20"/>
        <v>12341</v>
      </c>
      <c r="I90" s="11">
        <f>'Tariffs Inputs'!$O$40</f>
        <v>2200</v>
      </c>
      <c r="J90" s="30">
        <f>'Tariffs Inputs'!$P$40*'Tariffs Inputs'!$AA$40</f>
        <v>1576</v>
      </c>
      <c r="K90" s="11">
        <f>B90*$H$85*'Tariffs Inputs'!$Q$40</f>
        <v>2000</v>
      </c>
      <c r="L90" s="11">
        <f>B90*$I$85*'Tariffs Inputs'!$R$40</f>
        <v>1000</v>
      </c>
      <c r="M90" s="11">
        <f>B90*$J$85*'Tariffs Inputs'!$S$40</f>
        <v>6800</v>
      </c>
      <c r="N90" s="28">
        <f t="shared" si="21"/>
        <v>13576</v>
      </c>
      <c r="O90" s="75">
        <f>+N90-H90</f>
        <v>1235</v>
      </c>
      <c r="P90" s="76">
        <f>+O90/H90</f>
        <v>0.1000729276395754</v>
      </c>
    </row>
    <row r="91" spans="2:16" x14ac:dyDescent="0.3">
      <c r="B91" s="72">
        <v>15000</v>
      </c>
      <c r="C91" s="9">
        <f>'Tariffs Inputs'!$E$40</f>
        <v>2784</v>
      </c>
      <c r="D91" s="24">
        <f>'Tariffs Inputs'!$F$40*'Tariffs Inputs'!$AA$40</f>
        <v>1072</v>
      </c>
      <c r="E91" s="9">
        <f>B91*$H$85*'Tariffs Inputs'!$G$40</f>
        <v>2415</v>
      </c>
      <c r="F91" s="9">
        <f>B91*$I$85*'Tariffs Inputs'!$H$40</f>
        <v>750</v>
      </c>
      <c r="G91" s="9">
        <f>B91*$J$85*'Tariffs Inputs'!$I$40</f>
        <v>9562.5</v>
      </c>
      <c r="H91" s="51">
        <f t="shared" si="20"/>
        <v>16583.5</v>
      </c>
      <c r="I91" s="11">
        <f>'Tariffs Inputs'!$O$40</f>
        <v>2200</v>
      </c>
      <c r="J91" s="30">
        <f>'Tariffs Inputs'!$P$40*'Tariffs Inputs'!$AA$40</f>
        <v>1576</v>
      </c>
      <c r="K91" s="11">
        <f>B91*$H$85*'Tariffs Inputs'!$Q$40</f>
        <v>3000</v>
      </c>
      <c r="L91" s="11">
        <f>B91*$I$85*'Tariffs Inputs'!$R$40</f>
        <v>1500</v>
      </c>
      <c r="M91" s="11">
        <f>B91*$J$85*'Tariffs Inputs'!$S$40</f>
        <v>10200</v>
      </c>
      <c r="N91" s="28">
        <f t="shared" si="21"/>
        <v>18476</v>
      </c>
      <c r="O91" s="75">
        <f t="shared" ref="O91:O92" si="22">+N91-H91</f>
        <v>1892.5</v>
      </c>
      <c r="P91" s="76">
        <f t="shared" ref="P91:P92" si="23">+O91/H91</f>
        <v>0.11411945608586849</v>
      </c>
    </row>
    <row r="92" spans="2:16" x14ac:dyDescent="0.3">
      <c r="B92" s="73">
        <v>20000</v>
      </c>
      <c r="C92" s="9">
        <f>'Tariffs Inputs'!$E$40</f>
        <v>2784</v>
      </c>
      <c r="D92" s="24">
        <f>'Tariffs Inputs'!$F$40*'Tariffs Inputs'!$AA$40</f>
        <v>1072</v>
      </c>
      <c r="E92" s="9">
        <f>B92*$H$85*'Tariffs Inputs'!$G$40</f>
        <v>3220</v>
      </c>
      <c r="F92" s="9">
        <f>B92*$I$85*'Tariffs Inputs'!$H$40</f>
        <v>1000</v>
      </c>
      <c r="G92" s="9">
        <f>B92*$J$85*'Tariffs Inputs'!$I$40</f>
        <v>12750</v>
      </c>
      <c r="H92" s="51">
        <f t="shared" si="20"/>
        <v>20826</v>
      </c>
      <c r="I92" s="11">
        <f>'Tariffs Inputs'!$O$40</f>
        <v>2200</v>
      </c>
      <c r="J92" s="30">
        <f>'Tariffs Inputs'!$P$40*'Tariffs Inputs'!$AA$40</f>
        <v>1576</v>
      </c>
      <c r="K92" s="11">
        <f>B92*$H$85*'Tariffs Inputs'!$Q$40</f>
        <v>4000</v>
      </c>
      <c r="L92" s="11">
        <f>B92*$I$85*'Tariffs Inputs'!$R$40</f>
        <v>2000</v>
      </c>
      <c r="M92" s="11">
        <f>B92*$J$85*'Tariffs Inputs'!$S$40</f>
        <v>13600</v>
      </c>
      <c r="N92" s="28">
        <f t="shared" si="21"/>
        <v>23376</v>
      </c>
      <c r="O92" s="75">
        <f t="shared" si="22"/>
        <v>2550</v>
      </c>
      <c r="P92" s="76">
        <f t="shared" si="23"/>
        <v>0.12244309997118986</v>
      </c>
    </row>
    <row r="93" spans="2:16" x14ac:dyDescent="0.3">
      <c r="B93" s="73">
        <v>25000</v>
      </c>
      <c r="C93" s="9">
        <f>'Tariffs Inputs'!$E$40</f>
        <v>2784</v>
      </c>
      <c r="D93" s="24">
        <f>'Tariffs Inputs'!$F$40*'Tariffs Inputs'!$AA$40</f>
        <v>1072</v>
      </c>
      <c r="E93" s="9">
        <f>B93*$H$85*'Tariffs Inputs'!$G$40</f>
        <v>4025.0000000000005</v>
      </c>
      <c r="F93" s="9">
        <f>B93*$I$85*'Tariffs Inputs'!$H$40</f>
        <v>1250</v>
      </c>
      <c r="G93" s="9">
        <f>B93*$J$85*'Tariffs Inputs'!$I$40</f>
        <v>15937.5</v>
      </c>
      <c r="H93" s="51">
        <f t="shared" si="20"/>
        <v>25068.5</v>
      </c>
      <c r="I93" s="11">
        <f>'Tariffs Inputs'!$O$40</f>
        <v>2200</v>
      </c>
      <c r="J93" s="30">
        <f>'Tariffs Inputs'!$P$40*'Tariffs Inputs'!$AA$40</f>
        <v>1576</v>
      </c>
      <c r="K93" s="11">
        <f>B93*$H$85*'Tariffs Inputs'!$Q$40</f>
        <v>5000</v>
      </c>
      <c r="L93" s="11">
        <f>B93*$I$85*'Tariffs Inputs'!$R$40</f>
        <v>2500</v>
      </c>
      <c r="M93" s="11">
        <f>B93*$J$85*'Tariffs Inputs'!$S$40</f>
        <v>17000</v>
      </c>
      <c r="N93" s="28">
        <f t="shared" si="21"/>
        <v>28276</v>
      </c>
      <c r="O93" s="139">
        <f>+N93-H93</f>
        <v>3207.5</v>
      </c>
      <c r="P93" s="83">
        <f>+O93/H93</f>
        <v>0.12794941859305503</v>
      </c>
    </row>
    <row r="94" spans="2:16" x14ac:dyDescent="0.3">
      <c r="B94" s="124">
        <v>30000</v>
      </c>
      <c r="C94" s="9">
        <f>'Tariffs Inputs'!$E$40</f>
        <v>2784</v>
      </c>
      <c r="D94" s="24">
        <f>'Tariffs Inputs'!$F$40*'Tariffs Inputs'!$AA$40</f>
        <v>1072</v>
      </c>
      <c r="E94" s="9">
        <f>B94*$H$85*'Tariffs Inputs'!$G$40</f>
        <v>4830</v>
      </c>
      <c r="F94" s="9">
        <f>B94*$I$85*'Tariffs Inputs'!$H$40</f>
        <v>1500</v>
      </c>
      <c r="G94" s="9">
        <f>B94*$J$85*'Tariffs Inputs'!$I$40</f>
        <v>19125</v>
      </c>
      <c r="H94" s="51">
        <f t="shared" si="20"/>
        <v>29311</v>
      </c>
      <c r="I94" s="11">
        <f>'Tariffs Inputs'!$O$40</f>
        <v>2200</v>
      </c>
      <c r="J94" s="30">
        <f>'Tariffs Inputs'!$P$40*'Tariffs Inputs'!$AA$40</f>
        <v>1576</v>
      </c>
      <c r="K94" s="11">
        <f>B94*$H$85*'Tariffs Inputs'!$Q$40</f>
        <v>6000</v>
      </c>
      <c r="L94" s="11">
        <f>B94*$I$85*'Tariffs Inputs'!$R$40</f>
        <v>3000</v>
      </c>
      <c r="M94" s="11">
        <f>B94*$J$85*'Tariffs Inputs'!$S$40</f>
        <v>20400</v>
      </c>
      <c r="N94" s="28">
        <f t="shared" si="21"/>
        <v>33176</v>
      </c>
      <c r="O94" s="75">
        <f>+N94-H94</f>
        <v>3865</v>
      </c>
      <c r="P94" s="76">
        <f>+O94/H94</f>
        <v>0.13186175838422434</v>
      </c>
    </row>
    <row r="95" spans="2:16" x14ac:dyDescent="0.3">
      <c r="B95" s="1"/>
      <c r="C95" s="2"/>
      <c r="D95" s="2"/>
      <c r="E95" s="2"/>
      <c r="F95" s="2"/>
      <c r="G95" s="2"/>
      <c r="H95" s="2"/>
      <c r="I95" s="2"/>
      <c r="J95" s="2"/>
      <c r="K95" s="3"/>
      <c r="L95" s="4"/>
      <c r="M95" s="4"/>
      <c r="N95" s="4"/>
      <c r="O95" s="4"/>
      <c r="P95" s="67"/>
    </row>
    <row r="97" spans="2:16" ht="14.4" customHeight="1" x14ac:dyDescent="0.3">
      <c r="C97" s="133"/>
      <c r="D97" s="134"/>
      <c r="E97" s="134"/>
      <c r="F97" s="236" t="s">
        <v>110</v>
      </c>
      <c r="G97" s="236"/>
      <c r="H97" s="52" t="s">
        <v>37</v>
      </c>
      <c r="I97" s="52" t="s">
        <v>38</v>
      </c>
      <c r="J97" s="49" t="s">
        <v>109</v>
      </c>
    </row>
    <row r="98" spans="2:16" x14ac:dyDescent="0.3">
      <c r="B98" s="6"/>
      <c r="C98" s="135" t="str">
        <f>"Low Season "&amp;'Tariffs Inputs'!C41&amp;" "&amp;'Tariffs Inputs'!D41&amp;" comparison"</f>
        <v>Low Season I TOU Tariff 9 comparison</v>
      </c>
      <c r="D98" s="6"/>
      <c r="E98" s="6"/>
      <c r="F98" s="237"/>
      <c r="G98" s="237"/>
      <c r="H98" s="136">
        <v>0.33</v>
      </c>
      <c r="I98" s="132">
        <v>0.33</v>
      </c>
      <c r="J98" s="137">
        <f>100%-(H98+I98)</f>
        <v>0.33999999999999997</v>
      </c>
      <c r="K98" s="6"/>
      <c r="L98" s="6"/>
      <c r="M98" s="6"/>
      <c r="N98" s="6"/>
      <c r="O98" s="6"/>
      <c r="P98" s="6"/>
    </row>
    <row r="99" spans="2:16" ht="28.8" x14ac:dyDescent="0.3">
      <c r="B99" s="63" t="s">
        <v>3</v>
      </c>
      <c r="C99" s="144" t="str">
        <f>C3</f>
        <v>Year 1 Low Season</v>
      </c>
      <c r="D99" s="145"/>
      <c r="E99" s="145"/>
      <c r="F99" s="145"/>
      <c r="G99" s="145"/>
      <c r="H99" s="146"/>
      <c r="I99" s="144" t="str">
        <f>I3</f>
        <v>Year 2 Low Season</v>
      </c>
      <c r="J99" s="145"/>
      <c r="K99" s="145"/>
      <c r="L99" s="145"/>
      <c r="M99" s="145"/>
      <c r="N99" s="146"/>
      <c r="O99" s="148" t="s">
        <v>9</v>
      </c>
      <c r="P99" s="151" t="s">
        <v>10</v>
      </c>
    </row>
    <row r="100" spans="2:16" ht="43.2" x14ac:dyDescent="0.3">
      <c r="B100" s="69" t="s">
        <v>1</v>
      </c>
      <c r="C100" s="53" t="s">
        <v>6</v>
      </c>
      <c r="D100" s="65" t="s">
        <v>25</v>
      </c>
      <c r="E100" s="53" t="s">
        <v>106</v>
      </c>
      <c r="F100" s="53" t="s">
        <v>107</v>
      </c>
      <c r="G100" s="53" t="s">
        <v>108</v>
      </c>
      <c r="H100" s="53" t="s">
        <v>2</v>
      </c>
      <c r="I100" s="53" t="s">
        <v>6</v>
      </c>
      <c r="J100" s="65" t="s">
        <v>25</v>
      </c>
      <c r="K100" s="53" t="s">
        <v>106</v>
      </c>
      <c r="L100" s="53" t="s">
        <v>107</v>
      </c>
      <c r="M100" s="53" t="s">
        <v>108</v>
      </c>
      <c r="N100" s="65" t="s">
        <v>2</v>
      </c>
      <c r="O100" s="238"/>
      <c r="P100" s="150"/>
    </row>
    <row r="101" spans="2:16" x14ac:dyDescent="0.3">
      <c r="B101" s="71">
        <v>5000</v>
      </c>
      <c r="C101" s="9">
        <f>'Tariffs Inputs'!$E$41</f>
        <v>2537.7800000000002</v>
      </c>
      <c r="D101" s="24">
        <f>'Tariffs Inputs'!$F$41*'Tariffs Inputs'!$AA$41</f>
        <v>1665</v>
      </c>
      <c r="E101" s="9">
        <f>B101*$H$98*'Tariffs Inputs'!$G$41</f>
        <v>6385.5</v>
      </c>
      <c r="F101" s="9">
        <f>B101*$I$98*'Tariffs Inputs'!$H$41</f>
        <v>1650</v>
      </c>
      <c r="G101" s="9">
        <f>B101*$J$98*'Tariffs Inputs'!$I$41</f>
        <v>1274.9999999999998</v>
      </c>
      <c r="H101" s="51">
        <f>SUM(C101:G101)</f>
        <v>13513.28</v>
      </c>
      <c r="I101" s="11">
        <f>'Tariffs Inputs'!$O$41</f>
        <v>2300</v>
      </c>
      <c r="J101" s="30">
        <f>'Tariffs Inputs'!$P$41*'Tariffs Inputs'!$AA$41</f>
        <v>1350</v>
      </c>
      <c r="K101" s="11">
        <f>B101*$H$98*'Tariffs Inputs'!$Q$41</f>
        <v>3300</v>
      </c>
      <c r="L101" s="11">
        <f>B101*$I$98*'Tariffs Inputs'!$R$41</f>
        <v>3300</v>
      </c>
      <c r="M101" s="11">
        <f>B101*$J$98*'Tariffs Inputs'!$S$41</f>
        <v>1393.9999999999998</v>
      </c>
      <c r="N101" s="28">
        <f>SUM(I101:M101)</f>
        <v>11644</v>
      </c>
      <c r="O101" s="75">
        <f>+N101-H101</f>
        <v>-1869.2800000000007</v>
      </c>
      <c r="P101" s="76">
        <f>+O101/H101</f>
        <v>-0.13832911032702649</v>
      </c>
    </row>
    <row r="102" spans="2:16" x14ac:dyDescent="0.3">
      <c r="B102" s="72">
        <v>8000</v>
      </c>
      <c r="C102" s="9">
        <f>'Tariffs Inputs'!$E$41</f>
        <v>2537.7800000000002</v>
      </c>
      <c r="D102" s="24">
        <f>'Tariffs Inputs'!$F$41*'Tariffs Inputs'!$AA$41</f>
        <v>1665</v>
      </c>
      <c r="E102" s="9">
        <f>B102*$H$98*'Tariffs Inputs'!$G$41</f>
        <v>10216.800000000001</v>
      </c>
      <c r="F102" s="9">
        <f>B102*$I$98*'Tariffs Inputs'!$H$41</f>
        <v>2640</v>
      </c>
      <c r="G102" s="9">
        <f>B102*$J$98*'Tariffs Inputs'!$I$41</f>
        <v>2039.9999999999995</v>
      </c>
      <c r="H102" s="51">
        <f t="shared" ref="H102:H107" si="24">SUM(C102:G102)</f>
        <v>19099.580000000002</v>
      </c>
      <c r="I102" s="11">
        <f>'Tariffs Inputs'!$O$41</f>
        <v>2300</v>
      </c>
      <c r="J102" s="30">
        <f>'Tariffs Inputs'!$P$41*'Tariffs Inputs'!$AA$41</f>
        <v>1350</v>
      </c>
      <c r="K102" s="11">
        <f>B102*$H$98*'Tariffs Inputs'!$Q$41</f>
        <v>5280</v>
      </c>
      <c r="L102" s="11">
        <f>B102*$I$98*'Tariffs Inputs'!$R$41</f>
        <v>5280</v>
      </c>
      <c r="M102" s="11">
        <f>B102*$J$98*'Tariffs Inputs'!$S$41</f>
        <v>2230.3999999999996</v>
      </c>
      <c r="N102" s="28">
        <f t="shared" ref="N102:N107" si="25">SUM(I102:M102)</f>
        <v>16440.400000000001</v>
      </c>
      <c r="O102" s="77">
        <f>+N102-H102</f>
        <v>-2659.1800000000003</v>
      </c>
      <c r="P102" s="79">
        <f>+O102/H102</f>
        <v>-0.13922714530895444</v>
      </c>
    </row>
    <row r="103" spans="2:16" x14ac:dyDescent="0.3">
      <c r="B103" s="71">
        <v>10000</v>
      </c>
      <c r="C103" s="9">
        <f>'Tariffs Inputs'!$E$41</f>
        <v>2537.7800000000002</v>
      </c>
      <c r="D103" s="24">
        <f>'Tariffs Inputs'!$F$41*'Tariffs Inputs'!$AA$41</f>
        <v>1665</v>
      </c>
      <c r="E103" s="9">
        <f>B103*$H$98*'Tariffs Inputs'!$G$41</f>
        <v>12771</v>
      </c>
      <c r="F103" s="9">
        <f>B103*$I$98*'Tariffs Inputs'!$H$41</f>
        <v>3300</v>
      </c>
      <c r="G103" s="9">
        <f>B103*$J$98*'Tariffs Inputs'!$I$41</f>
        <v>2549.9999999999995</v>
      </c>
      <c r="H103" s="51">
        <f t="shared" si="24"/>
        <v>22823.78</v>
      </c>
      <c r="I103" s="11">
        <f>'Tariffs Inputs'!$O$41</f>
        <v>2300</v>
      </c>
      <c r="J103" s="30">
        <f>'Tariffs Inputs'!$P$41*'Tariffs Inputs'!$AA$41</f>
        <v>1350</v>
      </c>
      <c r="K103" s="11">
        <f>B103*$H$98*'Tariffs Inputs'!$Q$41</f>
        <v>6600</v>
      </c>
      <c r="L103" s="11">
        <f>B103*$I$98*'Tariffs Inputs'!$R$41</f>
        <v>6600</v>
      </c>
      <c r="M103" s="11">
        <f>B103*$J$98*'Tariffs Inputs'!$S$41</f>
        <v>2787.9999999999995</v>
      </c>
      <c r="N103" s="28">
        <f t="shared" si="25"/>
        <v>19638</v>
      </c>
      <c r="O103" s="75">
        <f>+N103-H103</f>
        <v>-3185.7799999999988</v>
      </c>
      <c r="P103" s="76">
        <f>+O103/H103</f>
        <v>-0.13958161181013834</v>
      </c>
    </row>
    <row r="104" spans="2:16" x14ac:dyDescent="0.3">
      <c r="B104" s="72">
        <v>15000</v>
      </c>
      <c r="C104" s="9">
        <f>'Tariffs Inputs'!$E$41</f>
        <v>2537.7800000000002</v>
      </c>
      <c r="D104" s="24">
        <f>'Tariffs Inputs'!$F$41*'Tariffs Inputs'!$AA$41</f>
        <v>1665</v>
      </c>
      <c r="E104" s="9">
        <f>B104*$H$98*'Tariffs Inputs'!$G$41</f>
        <v>19156.5</v>
      </c>
      <c r="F104" s="9">
        <f>B104*$I$98*'Tariffs Inputs'!$H$41</f>
        <v>4950</v>
      </c>
      <c r="G104" s="9">
        <f>B104*$J$98*'Tariffs Inputs'!$I$41</f>
        <v>3824.9999999999991</v>
      </c>
      <c r="H104" s="51">
        <f t="shared" si="24"/>
        <v>32134.28</v>
      </c>
      <c r="I104" s="11">
        <f>'Tariffs Inputs'!$O$41</f>
        <v>2300</v>
      </c>
      <c r="J104" s="30">
        <f>'Tariffs Inputs'!$P$41*'Tariffs Inputs'!$AA$41</f>
        <v>1350</v>
      </c>
      <c r="K104" s="11">
        <f>B104*$H$98*'Tariffs Inputs'!$Q$41</f>
        <v>9900</v>
      </c>
      <c r="L104" s="11">
        <f>B104*$I$98*'Tariffs Inputs'!$R$41</f>
        <v>9900</v>
      </c>
      <c r="M104" s="11">
        <f>B104*$J$98*'Tariffs Inputs'!$S$41</f>
        <v>4181.9999999999991</v>
      </c>
      <c r="N104" s="28">
        <f t="shared" si="25"/>
        <v>27632</v>
      </c>
      <c r="O104" s="75">
        <f t="shared" ref="O104:O105" si="26">+N104-H104</f>
        <v>-4502.2799999999988</v>
      </c>
      <c r="P104" s="76">
        <f t="shared" ref="P104:P105" si="27">+O104/H104</f>
        <v>-0.14010832046026855</v>
      </c>
    </row>
    <row r="105" spans="2:16" x14ac:dyDescent="0.3">
      <c r="B105" s="73">
        <v>20000</v>
      </c>
      <c r="C105" s="9">
        <f>'Tariffs Inputs'!$E$41</f>
        <v>2537.7800000000002</v>
      </c>
      <c r="D105" s="24">
        <f>'Tariffs Inputs'!$F$41*'Tariffs Inputs'!$AA$41</f>
        <v>1665</v>
      </c>
      <c r="E105" s="9">
        <f>B105*$H$98*'Tariffs Inputs'!$G$41</f>
        <v>25542</v>
      </c>
      <c r="F105" s="9">
        <f>B105*$I$98*'Tariffs Inputs'!$H$41</f>
        <v>6600</v>
      </c>
      <c r="G105" s="9">
        <f>B105*$J$98*'Tariffs Inputs'!$I$41</f>
        <v>5099.9999999999991</v>
      </c>
      <c r="H105" s="51">
        <f t="shared" si="24"/>
        <v>41444.78</v>
      </c>
      <c r="I105" s="11">
        <f>'Tariffs Inputs'!$O$41</f>
        <v>2300</v>
      </c>
      <c r="J105" s="30">
        <f>'Tariffs Inputs'!$P$41*'Tariffs Inputs'!$AA$41</f>
        <v>1350</v>
      </c>
      <c r="K105" s="11">
        <f>B105*$H$98*'Tariffs Inputs'!$Q$41</f>
        <v>13200</v>
      </c>
      <c r="L105" s="11">
        <f>B105*$I$98*'Tariffs Inputs'!$R$41</f>
        <v>13200</v>
      </c>
      <c r="M105" s="11">
        <f>B105*$J$98*'Tariffs Inputs'!$S$41</f>
        <v>5575.9999999999991</v>
      </c>
      <c r="N105" s="28">
        <f t="shared" si="25"/>
        <v>35626</v>
      </c>
      <c r="O105" s="75">
        <f t="shared" si="26"/>
        <v>-5818.7799999999988</v>
      </c>
      <c r="P105" s="76">
        <f t="shared" si="27"/>
        <v>-0.14039838068871396</v>
      </c>
    </row>
    <row r="106" spans="2:16" x14ac:dyDescent="0.3">
      <c r="B106" s="73">
        <v>25000</v>
      </c>
      <c r="C106" s="9">
        <f>'Tariffs Inputs'!$E$41</f>
        <v>2537.7800000000002</v>
      </c>
      <c r="D106" s="24">
        <f>'Tariffs Inputs'!$F$41*'Tariffs Inputs'!$AA$41</f>
        <v>1665</v>
      </c>
      <c r="E106" s="9">
        <f>B106*$H$98*'Tariffs Inputs'!$G$41</f>
        <v>31927.5</v>
      </c>
      <c r="F106" s="9">
        <f>B106*$I$98*'Tariffs Inputs'!$H$41</f>
        <v>8250</v>
      </c>
      <c r="G106" s="9">
        <f>B106*$J$98*'Tariffs Inputs'!$I$41</f>
        <v>6375</v>
      </c>
      <c r="H106" s="51">
        <f t="shared" si="24"/>
        <v>50755.28</v>
      </c>
      <c r="I106" s="11">
        <f>'Tariffs Inputs'!$O$41</f>
        <v>2300</v>
      </c>
      <c r="J106" s="30">
        <f>'Tariffs Inputs'!$P$41*'Tariffs Inputs'!$AA$41</f>
        <v>1350</v>
      </c>
      <c r="K106" s="11">
        <f>B106*$H$98*'Tariffs Inputs'!$Q$41</f>
        <v>16500</v>
      </c>
      <c r="L106" s="11">
        <f>B106*$I$98*'Tariffs Inputs'!$R$41</f>
        <v>16500</v>
      </c>
      <c r="M106" s="11">
        <f>B106*$J$98*'Tariffs Inputs'!$S$41</f>
        <v>6970</v>
      </c>
      <c r="N106" s="28">
        <f t="shared" si="25"/>
        <v>43620</v>
      </c>
      <c r="O106" s="139">
        <f>+N106-H106</f>
        <v>-7135.2799999999988</v>
      </c>
      <c r="P106" s="83">
        <f>+O106/H106</f>
        <v>-0.14058202417561283</v>
      </c>
    </row>
    <row r="107" spans="2:16" x14ac:dyDescent="0.3">
      <c r="B107" s="124">
        <v>30000</v>
      </c>
      <c r="C107" s="9">
        <f>'Tariffs Inputs'!$E$41</f>
        <v>2537.7800000000002</v>
      </c>
      <c r="D107" s="24">
        <f>'Tariffs Inputs'!$F$41*'Tariffs Inputs'!$AA$41</f>
        <v>1665</v>
      </c>
      <c r="E107" s="9">
        <f>B107*$H$98*'Tariffs Inputs'!$G$41</f>
        <v>38313</v>
      </c>
      <c r="F107" s="9">
        <f>B107*$I$98*'Tariffs Inputs'!$H$41</f>
        <v>9900</v>
      </c>
      <c r="G107" s="9">
        <f>B107*$J$98*'Tariffs Inputs'!$I$41</f>
        <v>7649.9999999999982</v>
      </c>
      <c r="H107" s="51">
        <f t="shared" si="24"/>
        <v>60065.78</v>
      </c>
      <c r="I107" s="11">
        <f>'Tariffs Inputs'!$O$41</f>
        <v>2300</v>
      </c>
      <c r="J107" s="30">
        <f>'Tariffs Inputs'!$P$41*'Tariffs Inputs'!$AA$41</f>
        <v>1350</v>
      </c>
      <c r="K107" s="11">
        <f>B107*$H$98*'Tariffs Inputs'!$Q$41</f>
        <v>19800</v>
      </c>
      <c r="L107" s="11">
        <f>B107*$I$98*'Tariffs Inputs'!$R$41</f>
        <v>19800</v>
      </c>
      <c r="M107" s="11">
        <f>B107*$J$98*'Tariffs Inputs'!$S$41</f>
        <v>8363.9999999999982</v>
      </c>
      <c r="N107" s="28">
        <f t="shared" si="25"/>
        <v>51614</v>
      </c>
      <c r="O107" s="75">
        <f>+N107-H107</f>
        <v>-8451.7799999999988</v>
      </c>
      <c r="P107" s="76">
        <f>+O107/H107</f>
        <v>-0.14070873632207886</v>
      </c>
    </row>
    <row r="108" spans="2:16" x14ac:dyDescent="0.3">
      <c r="B108" s="1"/>
      <c r="C108" s="2"/>
      <c r="D108" s="2"/>
      <c r="E108" s="2"/>
      <c r="F108" s="2"/>
      <c r="G108" s="2"/>
      <c r="H108" s="2"/>
      <c r="I108" s="2"/>
      <c r="J108" s="2"/>
      <c r="K108" s="3"/>
      <c r="L108" s="4"/>
      <c r="M108" s="4"/>
      <c r="N108" s="4"/>
      <c r="O108" s="4"/>
      <c r="P108" s="67"/>
    </row>
    <row r="110" spans="2:16" ht="14.4" customHeight="1" x14ac:dyDescent="0.3">
      <c r="C110" s="133"/>
      <c r="D110" s="134"/>
      <c r="E110" s="134"/>
      <c r="F110" s="236" t="s">
        <v>110</v>
      </c>
      <c r="G110" s="236"/>
      <c r="H110" s="52" t="s">
        <v>37</v>
      </c>
      <c r="I110" s="52" t="s">
        <v>38</v>
      </c>
      <c r="J110" s="49" t="s">
        <v>109</v>
      </c>
    </row>
    <row r="111" spans="2:16" x14ac:dyDescent="0.3">
      <c r="B111" s="6"/>
      <c r="C111" s="135" t="str">
        <f>"Low Season "&amp;'Tariffs Inputs'!C42&amp;" "&amp;'Tariffs Inputs'!D42&amp;" comparison"</f>
        <v>Low Season J TOU Tariff 10 comparison</v>
      </c>
      <c r="D111" s="6"/>
      <c r="E111" s="6"/>
      <c r="F111" s="237"/>
      <c r="G111" s="237"/>
      <c r="H111" s="136">
        <v>0.19</v>
      </c>
      <c r="I111" s="132">
        <v>0.77</v>
      </c>
      <c r="J111" s="137">
        <f>100%-(H111+I111)</f>
        <v>4.0000000000000036E-2</v>
      </c>
      <c r="K111" s="6"/>
      <c r="L111" s="6"/>
      <c r="M111" s="6"/>
      <c r="N111" s="6"/>
      <c r="O111" s="6"/>
      <c r="P111" s="6"/>
    </row>
    <row r="112" spans="2:16" ht="28.8" x14ac:dyDescent="0.3">
      <c r="B112" s="63" t="s">
        <v>3</v>
      </c>
      <c r="C112" s="144" t="str">
        <f>C3</f>
        <v>Year 1 Low Season</v>
      </c>
      <c r="D112" s="145"/>
      <c r="E112" s="145"/>
      <c r="F112" s="145"/>
      <c r="G112" s="145"/>
      <c r="H112" s="146"/>
      <c r="I112" s="144" t="str">
        <f>I3</f>
        <v>Year 2 Low Season</v>
      </c>
      <c r="J112" s="145"/>
      <c r="K112" s="145"/>
      <c r="L112" s="145"/>
      <c r="M112" s="145"/>
      <c r="N112" s="146"/>
      <c r="O112" s="148" t="s">
        <v>9</v>
      </c>
      <c r="P112" s="151" t="s">
        <v>10</v>
      </c>
    </row>
    <row r="113" spans="2:16" ht="43.2" x14ac:dyDescent="0.3">
      <c r="B113" s="69" t="s">
        <v>1</v>
      </c>
      <c r="C113" s="53" t="s">
        <v>6</v>
      </c>
      <c r="D113" s="65" t="s">
        <v>25</v>
      </c>
      <c r="E113" s="53" t="s">
        <v>106</v>
      </c>
      <c r="F113" s="53" t="s">
        <v>107</v>
      </c>
      <c r="G113" s="53" t="s">
        <v>108</v>
      </c>
      <c r="H113" s="53" t="s">
        <v>2</v>
      </c>
      <c r="I113" s="53" t="s">
        <v>6</v>
      </c>
      <c r="J113" s="65" t="s">
        <v>25</v>
      </c>
      <c r="K113" s="53" t="s">
        <v>106</v>
      </c>
      <c r="L113" s="53" t="s">
        <v>107</v>
      </c>
      <c r="M113" s="53" t="s">
        <v>108</v>
      </c>
      <c r="N113" s="65" t="s">
        <v>2</v>
      </c>
      <c r="O113" s="238"/>
      <c r="P113" s="150"/>
    </row>
    <row r="114" spans="2:16" x14ac:dyDescent="0.3">
      <c r="B114" s="71">
        <v>5000</v>
      </c>
      <c r="C114" s="9">
        <f>'Tariffs Inputs'!$E$42</f>
        <v>1200</v>
      </c>
      <c r="D114" s="24">
        <f>'Tariffs Inputs'!$F$42*'Tariffs Inputs'!$AA$42</f>
        <v>1690</v>
      </c>
      <c r="E114" s="9">
        <f>B114*$H$111*'Tariffs Inputs'!$G$42</f>
        <v>2090</v>
      </c>
      <c r="F114" s="9">
        <f>B114*$I$111*'Tariffs Inputs'!$H$42</f>
        <v>3850</v>
      </c>
      <c r="G114" s="9">
        <f>B114*$J$111*'Tariffs Inputs'!$I$42</f>
        <v>150.00000000000011</v>
      </c>
      <c r="H114" s="51">
        <f>SUM(C114:G114)</f>
        <v>8980</v>
      </c>
      <c r="I114" s="11">
        <f>'Tariffs Inputs'!$O$42</f>
        <v>1250</v>
      </c>
      <c r="J114" s="30">
        <f>'Tariffs Inputs'!$P$42*'Tariffs Inputs'!$AA$42</f>
        <v>1630</v>
      </c>
      <c r="K114" s="11">
        <f>B114*$H$111*'Tariffs Inputs'!$Q$42</f>
        <v>1900</v>
      </c>
      <c r="L114" s="11">
        <f>B114*$I$111*'Tariffs Inputs'!$R$42</f>
        <v>7700</v>
      </c>
      <c r="M114" s="11">
        <f>B114*$J$111*'Tariffs Inputs'!$S$42</f>
        <v>162.00000000000014</v>
      </c>
      <c r="N114" s="28">
        <f>SUM(I114:M114)</f>
        <v>12642</v>
      </c>
      <c r="O114" s="75">
        <f>+N114-H114</f>
        <v>3662</v>
      </c>
      <c r="P114" s="76">
        <f>+O114/H114</f>
        <v>0.40779510022271714</v>
      </c>
    </row>
    <row r="115" spans="2:16" x14ac:dyDescent="0.3">
      <c r="B115" s="72">
        <v>8000</v>
      </c>
      <c r="C115" s="9">
        <f>'Tariffs Inputs'!$E$42</f>
        <v>1200</v>
      </c>
      <c r="D115" s="24">
        <f>'Tariffs Inputs'!$F$42*'Tariffs Inputs'!$AA$42</f>
        <v>1690</v>
      </c>
      <c r="E115" s="9">
        <f>B115*$H$111*'Tariffs Inputs'!$G$42</f>
        <v>3344.0000000000005</v>
      </c>
      <c r="F115" s="9">
        <f>B115*$I$111*'Tariffs Inputs'!$H$42</f>
        <v>6160</v>
      </c>
      <c r="G115" s="9">
        <f>B115*$J$111*'Tariffs Inputs'!$I$42</f>
        <v>240.00000000000023</v>
      </c>
      <c r="H115" s="51">
        <f t="shared" ref="H115:H120" si="28">SUM(C115:G115)</f>
        <v>12634</v>
      </c>
      <c r="I115" s="11">
        <f>'Tariffs Inputs'!$O$42</f>
        <v>1250</v>
      </c>
      <c r="J115" s="30">
        <f>'Tariffs Inputs'!$P$42*'Tariffs Inputs'!$AA$42</f>
        <v>1630</v>
      </c>
      <c r="K115" s="11">
        <f>B115*$H$111*'Tariffs Inputs'!$Q$42</f>
        <v>3040</v>
      </c>
      <c r="L115" s="11">
        <f>B115*$I$111*'Tariffs Inputs'!$R$42</f>
        <v>12320</v>
      </c>
      <c r="M115" s="11">
        <f>B115*$J$111*'Tariffs Inputs'!$S$42</f>
        <v>259.20000000000027</v>
      </c>
      <c r="N115" s="28">
        <f t="shared" ref="N115:N120" si="29">SUM(I115:M115)</f>
        <v>18499.2</v>
      </c>
      <c r="O115" s="77">
        <f>+N115-H115</f>
        <v>5865.2000000000007</v>
      </c>
      <c r="P115" s="79">
        <f>+O115/H115</f>
        <v>0.46423935412379302</v>
      </c>
    </row>
    <row r="116" spans="2:16" x14ac:dyDescent="0.3">
      <c r="B116" s="71">
        <v>10000</v>
      </c>
      <c r="C116" s="9">
        <f>'Tariffs Inputs'!$E$42</f>
        <v>1200</v>
      </c>
      <c r="D116" s="24">
        <f>'Tariffs Inputs'!$F$42*'Tariffs Inputs'!$AA$42</f>
        <v>1690</v>
      </c>
      <c r="E116" s="9">
        <f>B116*$H$111*'Tariffs Inputs'!$G$42</f>
        <v>4180</v>
      </c>
      <c r="F116" s="9">
        <f>B116*$I$111*'Tariffs Inputs'!$H$42</f>
        <v>7700</v>
      </c>
      <c r="G116" s="9">
        <f>B116*$J$111*'Tariffs Inputs'!$I$42</f>
        <v>300.00000000000023</v>
      </c>
      <c r="H116" s="51">
        <f t="shared" si="28"/>
        <v>15070</v>
      </c>
      <c r="I116" s="11">
        <f>'Tariffs Inputs'!$O$42</f>
        <v>1250</v>
      </c>
      <c r="J116" s="30">
        <f>'Tariffs Inputs'!$P$42*'Tariffs Inputs'!$AA$42</f>
        <v>1630</v>
      </c>
      <c r="K116" s="11">
        <f>B116*$H$111*'Tariffs Inputs'!$Q$42</f>
        <v>3800</v>
      </c>
      <c r="L116" s="11">
        <f>B116*$I$111*'Tariffs Inputs'!$R$42</f>
        <v>15400</v>
      </c>
      <c r="M116" s="11">
        <f>B116*$J$111*'Tariffs Inputs'!$S$42</f>
        <v>324.00000000000028</v>
      </c>
      <c r="N116" s="28">
        <f t="shared" si="29"/>
        <v>22404</v>
      </c>
      <c r="O116" s="75">
        <f>+N116-H116</f>
        <v>7334</v>
      </c>
      <c r="P116" s="76">
        <f>+O116/H116</f>
        <v>0.48666224286662241</v>
      </c>
    </row>
    <row r="117" spans="2:16" x14ac:dyDescent="0.3">
      <c r="B117" s="72">
        <v>15000</v>
      </c>
      <c r="C117" s="9">
        <f>'Tariffs Inputs'!$E$42</f>
        <v>1200</v>
      </c>
      <c r="D117" s="24">
        <f>'Tariffs Inputs'!$F$42*'Tariffs Inputs'!$AA$42</f>
        <v>1690</v>
      </c>
      <c r="E117" s="9">
        <f>B117*$H$111*'Tariffs Inputs'!$G$42</f>
        <v>6270.0000000000009</v>
      </c>
      <c r="F117" s="9">
        <f>B117*$I$111*'Tariffs Inputs'!$H$42</f>
        <v>11550</v>
      </c>
      <c r="G117" s="9">
        <f>B117*$J$111*'Tariffs Inputs'!$I$42</f>
        <v>450.00000000000045</v>
      </c>
      <c r="H117" s="51">
        <f t="shared" si="28"/>
        <v>21160</v>
      </c>
      <c r="I117" s="11">
        <f>'Tariffs Inputs'!$O$42</f>
        <v>1250</v>
      </c>
      <c r="J117" s="30">
        <f>'Tariffs Inputs'!$P$42*'Tariffs Inputs'!$AA$42</f>
        <v>1630</v>
      </c>
      <c r="K117" s="11">
        <f>B117*$H$111*'Tariffs Inputs'!$Q$42</f>
        <v>5700</v>
      </c>
      <c r="L117" s="11">
        <f>B117*$I$111*'Tariffs Inputs'!$R$42</f>
        <v>23100</v>
      </c>
      <c r="M117" s="11">
        <f>B117*$J$111*'Tariffs Inputs'!$S$42</f>
        <v>486.00000000000051</v>
      </c>
      <c r="N117" s="28">
        <f t="shared" si="29"/>
        <v>32166</v>
      </c>
      <c r="O117" s="75">
        <f t="shared" ref="O117:O118" si="30">+N117-H117</f>
        <v>11006</v>
      </c>
      <c r="P117" s="76">
        <f t="shared" ref="P117:P118" si="31">+O117/H117</f>
        <v>0.52013232514177699</v>
      </c>
    </row>
    <row r="118" spans="2:16" x14ac:dyDescent="0.3">
      <c r="B118" s="73">
        <v>20000</v>
      </c>
      <c r="C118" s="9">
        <f>'Tariffs Inputs'!$E$42</f>
        <v>1200</v>
      </c>
      <c r="D118" s="24">
        <f>'Tariffs Inputs'!$F$42*'Tariffs Inputs'!$AA$42</f>
        <v>1690</v>
      </c>
      <c r="E118" s="9">
        <f>B118*$H$111*'Tariffs Inputs'!$G$42</f>
        <v>8360</v>
      </c>
      <c r="F118" s="9">
        <f>B118*$I$111*'Tariffs Inputs'!$H$42</f>
        <v>15400</v>
      </c>
      <c r="G118" s="9">
        <f>B118*$J$111*'Tariffs Inputs'!$I$42</f>
        <v>600.00000000000045</v>
      </c>
      <c r="H118" s="51">
        <f t="shared" si="28"/>
        <v>27250</v>
      </c>
      <c r="I118" s="11">
        <f>'Tariffs Inputs'!$O$42</f>
        <v>1250</v>
      </c>
      <c r="J118" s="30">
        <f>'Tariffs Inputs'!$P$42*'Tariffs Inputs'!$AA$42</f>
        <v>1630</v>
      </c>
      <c r="K118" s="11">
        <f>B118*$H$111*'Tariffs Inputs'!$Q$42</f>
        <v>7600</v>
      </c>
      <c r="L118" s="11">
        <f>B118*$I$111*'Tariffs Inputs'!$R$42</f>
        <v>30800</v>
      </c>
      <c r="M118" s="11">
        <f>B118*$J$111*'Tariffs Inputs'!$S$42</f>
        <v>648.00000000000057</v>
      </c>
      <c r="N118" s="28">
        <f t="shared" si="29"/>
        <v>41928</v>
      </c>
      <c r="O118" s="75">
        <f t="shared" si="30"/>
        <v>14678</v>
      </c>
      <c r="P118" s="76">
        <f t="shared" si="31"/>
        <v>0.53864220183486233</v>
      </c>
    </row>
    <row r="119" spans="2:16" x14ac:dyDescent="0.3">
      <c r="B119" s="73">
        <v>25000</v>
      </c>
      <c r="C119" s="9">
        <f>'Tariffs Inputs'!$E$42</f>
        <v>1200</v>
      </c>
      <c r="D119" s="24">
        <f>'Tariffs Inputs'!$F$42*'Tariffs Inputs'!$AA$42</f>
        <v>1690</v>
      </c>
      <c r="E119" s="9">
        <f>B119*$H$111*'Tariffs Inputs'!$G$42</f>
        <v>10450</v>
      </c>
      <c r="F119" s="9">
        <f>B119*$I$111*'Tariffs Inputs'!$H$42</f>
        <v>19250</v>
      </c>
      <c r="G119" s="9">
        <f>B119*$J$111*'Tariffs Inputs'!$I$42</f>
        <v>750.00000000000068</v>
      </c>
      <c r="H119" s="51">
        <f t="shared" si="28"/>
        <v>33340</v>
      </c>
      <c r="I119" s="11">
        <f>'Tariffs Inputs'!$O$42</f>
        <v>1250</v>
      </c>
      <c r="J119" s="30">
        <f>'Tariffs Inputs'!$P$42*'Tariffs Inputs'!$AA$42</f>
        <v>1630</v>
      </c>
      <c r="K119" s="11">
        <f>B119*$H$111*'Tariffs Inputs'!$Q$42</f>
        <v>9500</v>
      </c>
      <c r="L119" s="11">
        <f>B119*$I$111*'Tariffs Inputs'!$R$42</f>
        <v>38500</v>
      </c>
      <c r="M119" s="11">
        <f>B119*$J$111*'Tariffs Inputs'!$S$42</f>
        <v>810.0000000000008</v>
      </c>
      <c r="N119" s="28">
        <f t="shared" si="29"/>
        <v>51690</v>
      </c>
      <c r="O119" s="139">
        <f>+N119-H119</f>
        <v>18350</v>
      </c>
      <c r="P119" s="83">
        <f>+O119/H119</f>
        <v>0.55038992201559689</v>
      </c>
    </row>
    <row r="120" spans="2:16" x14ac:dyDescent="0.3">
      <c r="B120" s="124">
        <v>30000</v>
      </c>
      <c r="C120" s="9">
        <f>'Tariffs Inputs'!$E$42</f>
        <v>1200</v>
      </c>
      <c r="D120" s="24">
        <f>'Tariffs Inputs'!$F$42*'Tariffs Inputs'!$AA$42</f>
        <v>1690</v>
      </c>
      <c r="E120" s="9">
        <f>B120*$H$111*'Tariffs Inputs'!$G$42</f>
        <v>12540.000000000002</v>
      </c>
      <c r="F120" s="9">
        <f>B120*$I$111*'Tariffs Inputs'!$H$42</f>
        <v>23100</v>
      </c>
      <c r="G120" s="9">
        <f>B120*$J$111*'Tariffs Inputs'!$I$42</f>
        <v>900.00000000000091</v>
      </c>
      <c r="H120" s="51">
        <f t="shared" si="28"/>
        <v>39430</v>
      </c>
      <c r="I120" s="11">
        <f>'Tariffs Inputs'!$O$42</f>
        <v>1250</v>
      </c>
      <c r="J120" s="30">
        <f>'Tariffs Inputs'!$P$42*'Tariffs Inputs'!$AA$42</f>
        <v>1630</v>
      </c>
      <c r="K120" s="11">
        <f>B120*$H$111*'Tariffs Inputs'!$Q$42</f>
        <v>11400</v>
      </c>
      <c r="L120" s="11">
        <f>B120*$I$111*'Tariffs Inputs'!$R$42</f>
        <v>46200</v>
      </c>
      <c r="M120" s="11">
        <f>B120*$J$111*'Tariffs Inputs'!$S$42</f>
        <v>972.00000000000102</v>
      </c>
      <c r="N120" s="28">
        <f t="shared" si="29"/>
        <v>61452</v>
      </c>
      <c r="O120" s="75">
        <f>+N120-H120</f>
        <v>22022</v>
      </c>
      <c r="P120" s="76">
        <f>+O120/H120</f>
        <v>0.55850874968298247</v>
      </c>
    </row>
    <row r="121" spans="2:16" x14ac:dyDescent="0.3">
      <c r="B121" s="1"/>
      <c r="C121" s="2"/>
      <c r="D121" s="2"/>
      <c r="E121" s="2"/>
      <c r="F121" s="2"/>
      <c r="G121" s="2"/>
      <c r="H121" s="2"/>
      <c r="I121" s="2"/>
      <c r="J121" s="2"/>
      <c r="K121" s="3"/>
      <c r="L121" s="4"/>
      <c r="M121" s="4"/>
      <c r="N121" s="4"/>
      <c r="O121" s="4"/>
      <c r="P121" s="67"/>
    </row>
  </sheetData>
  <mergeCells count="50">
    <mergeCell ref="F1:G2"/>
    <mergeCell ref="I3:N3"/>
    <mergeCell ref="C3:H3"/>
    <mergeCell ref="F12:G13"/>
    <mergeCell ref="C14:H14"/>
    <mergeCell ref="I14:N14"/>
    <mergeCell ref="O3:O4"/>
    <mergeCell ref="P3:P4"/>
    <mergeCell ref="P14:P15"/>
    <mergeCell ref="O14:O15"/>
    <mergeCell ref="C47:H47"/>
    <mergeCell ref="I47:N47"/>
    <mergeCell ref="O47:O48"/>
    <mergeCell ref="P47:P48"/>
    <mergeCell ref="F23:G24"/>
    <mergeCell ref="C25:H25"/>
    <mergeCell ref="I25:N25"/>
    <mergeCell ref="O25:O26"/>
    <mergeCell ref="P25:P26"/>
    <mergeCell ref="F34:G35"/>
    <mergeCell ref="C36:H36"/>
    <mergeCell ref="I36:N36"/>
    <mergeCell ref="O36:O37"/>
    <mergeCell ref="P36:P37"/>
    <mergeCell ref="F45:G46"/>
    <mergeCell ref="C86:H86"/>
    <mergeCell ref="I86:N86"/>
    <mergeCell ref="O86:O87"/>
    <mergeCell ref="P86:P87"/>
    <mergeCell ref="F58:G59"/>
    <mergeCell ref="C60:H60"/>
    <mergeCell ref="I60:N60"/>
    <mergeCell ref="O60:O61"/>
    <mergeCell ref="P60:P61"/>
    <mergeCell ref="F71:G72"/>
    <mergeCell ref="C73:H73"/>
    <mergeCell ref="I73:N73"/>
    <mergeCell ref="O73:O74"/>
    <mergeCell ref="P73:P74"/>
    <mergeCell ref="F84:G85"/>
    <mergeCell ref="C112:H112"/>
    <mergeCell ref="I112:N112"/>
    <mergeCell ref="O112:O113"/>
    <mergeCell ref="P112:P113"/>
    <mergeCell ref="F97:G98"/>
    <mergeCell ref="C99:H99"/>
    <mergeCell ref="I99:N99"/>
    <mergeCell ref="O99:O100"/>
    <mergeCell ref="P99:P100"/>
    <mergeCell ref="F110:G1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E2576-1B46-4339-BE87-726E9623C732}">
  <sheetPr>
    <tabColor theme="0" tint="-0.499984740745262"/>
  </sheetPr>
  <dimension ref="A1:Q121"/>
  <sheetViews>
    <sheetView showGridLines="0" zoomScale="70" zoomScaleNormal="70" workbookViewId="0">
      <selection activeCell="K18" sqref="K18"/>
    </sheetView>
  </sheetViews>
  <sheetFormatPr defaultRowHeight="14.4" x14ac:dyDescent="0.3"/>
  <cols>
    <col min="1" max="1" width="1.77734375" customWidth="1"/>
    <col min="2" max="2" width="6.33203125" bestFit="1" customWidth="1"/>
    <col min="3" max="3" width="11" customWidth="1"/>
    <col min="4" max="4" width="11.44140625" customWidth="1"/>
    <col min="5" max="5" width="12.5546875" customWidth="1"/>
    <col min="6" max="6" width="12.6640625" customWidth="1"/>
    <col min="7" max="8" width="13" customWidth="1"/>
    <col min="9" max="9" width="12.44140625" customWidth="1"/>
    <col min="10" max="10" width="11.6640625" customWidth="1"/>
    <col min="11" max="11" width="12.88671875" customWidth="1"/>
    <col min="12" max="12" width="13.77734375" customWidth="1"/>
    <col min="13" max="13" width="13.6640625" customWidth="1"/>
    <col min="14" max="14" width="11.21875" customWidth="1"/>
    <col min="15" max="15" width="12.6640625" customWidth="1"/>
    <col min="16" max="16" width="13.44140625" bestFit="1" customWidth="1"/>
  </cols>
  <sheetData>
    <row r="1" spans="2:17" ht="14.4" customHeight="1" x14ac:dyDescent="0.3">
      <c r="C1" s="133"/>
      <c r="D1" s="134"/>
      <c r="E1" s="134"/>
      <c r="F1" s="236" t="s">
        <v>110</v>
      </c>
      <c r="G1" s="236"/>
      <c r="H1" s="52" t="s">
        <v>37</v>
      </c>
      <c r="I1" s="52" t="s">
        <v>38</v>
      </c>
      <c r="J1" s="49" t="s">
        <v>109</v>
      </c>
    </row>
    <row r="2" spans="2:17" x14ac:dyDescent="0.3">
      <c r="B2" s="6"/>
      <c r="C2" s="135" t="str">
        <f>"High Season "&amp;'Tariffs Inputs'!C33&amp;" "&amp;'Tariffs Inputs'!D33&amp;" comparison"</f>
        <v>High Season A TOU Tariff 1 comparison</v>
      </c>
      <c r="D2" s="6"/>
      <c r="E2" s="6"/>
      <c r="F2" s="237"/>
      <c r="G2" s="237"/>
      <c r="H2" s="136">
        <v>0.15</v>
      </c>
      <c r="I2" s="132">
        <v>0.35</v>
      </c>
      <c r="J2" s="137">
        <f>100%-(H2+I2)</f>
        <v>0.5</v>
      </c>
      <c r="K2" s="6"/>
      <c r="L2" s="6"/>
      <c r="M2" s="6"/>
      <c r="N2" s="6"/>
      <c r="O2" s="6"/>
      <c r="P2" s="6"/>
    </row>
    <row r="3" spans="2:17" ht="26.4" customHeight="1" x14ac:dyDescent="0.3">
      <c r="B3" s="63" t="s">
        <v>3</v>
      </c>
      <c r="C3" s="144" t="str">
        <f>'Tariffs Inputs'!F4&amp; " High Season"</f>
        <v>Year 1 High Season</v>
      </c>
      <c r="D3" s="145"/>
      <c r="E3" s="145"/>
      <c r="F3" s="145"/>
      <c r="G3" s="145"/>
      <c r="H3" s="146"/>
      <c r="I3" s="152" t="str">
        <f>'Tariffs Inputs'!F6&amp;" High Season"</f>
        <v>Year 2 High Season</v>
      </c>
      <c r="J3" s="153"/>
      <c r="K3" s="153"/>
      <c r="L3" s="153"/>
      <c r="M3" s="153"/>
      <c r="N3" s="154"/>
      <c r="O3" s="148" t="s">
        <v>9</v>
      </c>
      <c r="P3" s="151" t="s">
        <v>10</v>
      </c>
    </row>
    <row r="4" spans="2:17" ht="48" customHeight="1" x14ac:dyDescent="0.3">
      <c r="B4" s="69" t="s">
        <v>1</v>
      </c>
      <c r="C4" s="53" t="s">
        <v>6</v>
      </c>
      <c r="D4" s="65" t="s">
        <v>25</v>
      </c>
      <c r="E4" s="53" t="s">
        <v>106</v>
      </c>
      <c r="F4" s="53" t="s">
        <v>107</v>
      </c>
      <c r="G4" s="53" t="s">
        <v>108</v>
      </c>
      <c r="H4" s="53" t="s">
        <v>2</v>
      </c>
      <c r="I4" s="53" t="s">
        <v>6</v>
      </c>
      <c r="J4" s="65" t="s">
        <v>25</v>
      </c>
      <c r="K4" s="53" t="s">
        <v>106</v>
      </c>
      <c r="L4" s="53" t="s">
        <v>107</v>
      </c>
      <c r="M4" s="53" t="s">
        <v>108</v>
      </c>
      <c r="N4" s="65" t="s">
        <v>2</v>
      </c>
      <c r="O4" s="238"/>
      <c r="P4" s="150"/>
    </row>
    <row r="5" spans="2:17" x14ac:dyDescent="0.3">
      <c r="B5" s="71">
        <v>600</v>
      </c>
      <c r="C5" s="9">
        <f>'Tariffs Inputs'!$J$33</f>
        <v>0</v>
      </c>
      <c r="D5" s="24">
        <f>'Tariffs Inputs'!$K$33*'Tariffs Inputs'!$AB$33</f>
        <v>0</v>
      </c>
      <c r="E5" s="9">
        <f>B5*$H$2*'Tariffs Inputs'!$L$33</f>
        <v>450</v>
      </c>
      <c r="F5" s="9">
        <f>B5*$I$2*'Tariffs Inputs'!$M$33</f>
        <v>252</v>
      </c>
      <c r="G5" s="9">
        <f>B5*$J$2*'Tariffs Inputs'!$N$33</f>
        <v>300</v>
      </c>
      <c r="H5" s="51">
        <f>SUM(C5:G5)</f>
        <v>1002</v>
      </c>
      <c r="I5" s="11">
        <f>'Tariffs Inputs'!$T$33</f>
        <v>2</v>
      </c>
      <c r="J5" s="30">
        <f>'Tariffs Inputs'!$U$33*'Tariffs Inputs'!$AB$33</f>
        <v>0</v>
      </c>
      <c r="K5" s="11">
        <f>B5*$H$2*'Tariffs Inputs'!$V$33</f>
        <v>486.00000000000006</v>
      </c>
      <c r="L5" s="11">
        <f>B5*$I$2*'Tariffs Inputs'!$W$33</f>
        <v>294</v>
      </c>
      <c r="M5" s="11">
        <f>B5*$J$2*'Tariffs Inputs'!$X$33</f>
        <v>360</v>
      </c>
      <c r="N5" s="28">
        <f>SUM(I5:M5)</f>
        <v>1142</v>
      </c>
      <c r="O5" s="75">
        <f>+N5-H5</f>
        <v>140</v>
      </c>
      <c r="P5" s="76">
        <f>+O5/H5</f>
        <v>0.13972055888223553</v>
      </c>
    </row>
    <row r="6" spans="2:17" x14ac:dyDescent="0.3">
      <c r="B6" s="72">
        <v>700</v>
      </c>
      <c r="C6" s="9">
        <f>'Tariffs Inputs'!$J$33</f>
        <v>0</v>
      </c>
      <c r="D6" s="24">
        <f>'Tariffs Inputs'!$K$33*'Tariffs Inputs'!$AB$33</f>
        <v>0</v>
      </c>
      <c r="E6" s="9">
        <f>B6*$H$2*'Tariffs Inputs'!$L$33</f>
        <v>525</v>
      </c>
      <c r="F6" s="9">
        <f>B6*$I$2*'Tariffs Inputs'!$M$33</f>
        <v>293.99999999999994</v>
      </c>
      <c r="G6" s="9">
        <f>B6*$J$2*'Tariffs Inputs'!$N$33</f>
        <v>350</v>
      </c>
      <c r="H6" s="51">
        <f t="shared" ref="H6:H9" si="0">SUM(C6:G6)</f>
        <v>1169</v>
      </c>
      <c r="I6" s="11">
        <f>'Tariffs Inputs'!$T$33</f>
        <v>2</v>
      </c>
      <c r="J6" s="30">
        <f>'Tariffs Inputs'!$U$33*'Tariffs Inputs'!$AB$33</f>
        <v>0</v>
      </c>
      <c r="K6" s="11">
        <f>B6*$H$2*'Tariffs Inputs'!$V$33</f>
        <v>567</v>
      </c>
      <c r="L6" s="11">
        <f>B6*$I$2*'Tariffs Inputs'!$W$33</f>
        <v>342.99999999999994</v>
      </c>
      <c r="M6" s="11">
        <f>B6*$J$2*'Tariffs Inputs'!$X$33</f>
        <v>420</v>
      </c>
      <c r="N6" s="28">
        <f t="shared" ref="N6:N9" si="1">SUM(I6:M6)</f>
        <v>1332</v>
      </c>
      <c r="O6" s="77">
        <f>+N6-H6</f>
        <v>163</v>
      </c>
      <c r="P6" s="79">
        <f>+O6/H6</f>
        <v>0.13943541488451669</v>
      </c>
    </row>
    <row r="7" spans="2:17" x14ac:dyDescent="0.3">
      <c r="B7" s="71">
        <v>800</v>
      </c>
      <c r="C7" s="9">
        <f>'Tariffs Inputs'!$J$33</f>
        <v>0</v>
      </c>
      <c r="D7" s="24">
        <f>'Tariffs Inputs'!$K$33*'Tariffs Inputs'!$AB$33</f>
        <v>0</v>
      </c>
      <c r="E7" s="9">
        <f>B7*$H$2*'Tariffs Inputs'!$L$33</f>
        <v>600</v>
      </c>
      <c r="F7" s="9">
        <f>B7*$I$2*'Tariffs Inputs'!$M$33</f>
        <v>336</v>
      </c>
      <c r="G7" s="9">
        <f>B7*$J$2*'Tariffs Inputs'!$N$33</f>
        <v>400</v>
      </c>
      <c r="H7" s="51">
        <f t="shared" si="0"/>
        <v>1336</v>
      </c>
      <c r="I7" s="11">
        <f>'Tariffs Inputs'!$T$33</f>
        <v>2</v>
      </c>
      <c r="J7" s="30">
        <f>'Tariffs Inputs'!$U$33*'Tariffs Inputs'!$AB$33</f>
        <v>0</v>
      </c>
      <c r="K7" s="11">
        <f>B7*$H$2*'Tariffs Inputs'!$V$33</f>
        <v>648</v>
      </c>
      <c r="L7" s="11">
        <f>B7*$I$2*'Tariffs Inputs'!$W$33</f>
        <v>392</v>
      </c>
      <c r="M7" s="11">
        <f>B7*$J$2*'Tariffs Inputs'!$X$33</f>
        <v>480</v>
      </c>
      <c r="N7" s="28">
        <f t="shared" si="1"/>
        <v>1522</v>
      </c>
      <c r="O7" s="75">
        <f>+N7-H7</f>
        <v>186</v>
      </c>
      <c r="P7" s="76">
        <f>+O7/H7</f>
        <v>0.13922155688622753</v>
      </c>
    </row>
    <row r="8" spans="2:17" x14ac:dyDescent="0.3">
      <c r="B8" s="72">
        <v>900</v>
      </c>
      <c r="C8" s="9">
        <f>'Tariffs Inputs'!$J$33</f>
        <v>0</v>
      </c>
      <c r="D8" s="24">
        <f>'Tariffs Inputs'!$K$33*'Tariffs Inputs'!$AB$33</f>
        <v>0</v>
      </c>
      <c r="E8" s="9">
        <f>B8*$H$2*'Tariffs Inputs'!$L$33</f>
        <v>675</v>
      </c>
      <c r="F8" s="9">
        <f>B8*$I$2*'Tariffs Inputs'!$M$33</f>
        <v>378</v>
      </c>
      <c r="G8" s="9">
        <f>B8*$J$2*'Tariffs Inputs'!$N$33</f>
        <v>450</v>
      </c>
      <c r="H8" s="51">
        <f t="shared" si="0"/>
        <v>1503</v>
      </c>
      <c r="I8" s="11">
        <f>'Tariffs Inputs'!$T$33</f>
        <v>2</v>
      </c>
      <c r="J8" s="30">
        <f>'Tariffs Inputs'!$U$33*'Tariffs Inputs'!$AB$33</f>
        <v>0</v>
      </c>
      <c r="K8" s="11">
        <f>B8*$H$2*'Tariffs Inputs'!$V$33</f>
        <v>729</v>
      </c>
      <c r="L8" s="11">
        <f>B8*$I$2*'Tariffs Inputs'!$W$33</f>
        <v>441</v>
      </c>
      <c r="M8" s="11">
        <f>B8*$J$2*'Tariffs Inputs'!$X$33</f>
        <v>540</v>
      </c>
      <c r="N8" s="28">
        <f t="shared" si="1"/>
        <v>1712</v>
      </c>
      <c r="O8" s="77">
        <f>+N8-H8</f>
        <v>209</v>
      </c>
      <c r="P8" s="79">
        <f>+O8/H8</f>
        <v>0.13905522288755823</v>
      </c>
    </row>
    <row r="9" spans="2:17" x14ac:dyDescent="0.3">
      <c r="B9" s="71">
        <v>1000</v>
      </c>
      <c r="C9" s="9">
        <f>'Tariffs Inputs'!$J$33</f>
        <v>0</v>
      </c>
      <c r="D9" s="24">
        <f>'Tariffs Inputs'!$K$33*'Tariffs Inputs'!$AB$33</f>
        <v>0</v>
      </c>
      <c r="E9" s="9">
        <f>B9*$H$2*'Tariffs Inputs'!$L$33</f>
        <v>750</v>
      </c>
      <c r="F9" s="9">
        <f>B9*$I$2*'Tariffs Inputs'!$M$33</f>
        <v>420</v>
      </c>
      <c r="G9" s="9">
        <f>B9*$J$2*'Tariffs Inputs'!$N$33</f>
        <v>500</v>
      </c>
      <c r="H9" s="51">
        <f t="shared" si="0"/>
        <v>1670</v>
      </c>
      <c r="I9" s="11">
        <f>'Tariffs Inputs'!$T$33</f>
        <v>2</v>
      </c>
      <c r="J9" s="30">
        <f>'Tariffs Inputs'!$U$33*'Tariffs Inputs'!$AB$33</f>
        <v>0</v>
      </c>
      <c r="K9" s="11">
        <f>B9*$H$2*'Tariffs Inputs'!$V$33</f>
        <v>810</v>
      </c>
      <c r="L9" s="11">
        <f>B9*$I$2*'Tariffs Inputs'!$W$33</f>
        <v>489.99999999999994</v>
      </c>
      <c r="M9" s="11">
        <f>B9*$J$2*'Tariffs Inputs'!$X$33</f>
        <v>600</v>
      </c>
      <c r="N9" s="28">
        <f t="shared" si="1"/>
        <v>1902</v>
      </c>
      <c r="O9" s="75">
        <f>+N9-H9</f>
        <v>232</v>
      </c>
      <c r="P9" s="76">
        <f>+O9/H9</f>
        <v>0.13892215568862276</v>
      </c>
    </row>
    <row r="10" spans="2:17" x14ac:dyDescent="0.3">
      <c r="B10" s="1"/>
      <c r="C10" s="2"/>
      <c r="D10" s="2"/>
      <c r="E10" s="2"/>
      <c r="F10" s="2"/>
      <c r="G10" s="2"/>
      <c r="H10" s="2"/>
      <c r="I10" s="2"/>
      <c r="J10" s="2"/>
      <c r="K10" s="3"/>
      <c r="L10" s="4"/>
      <c r="M10" s="4"/>
      <c r="N10" s="4"/>
      <c r="O10" s="4"/>
      <c r="P10" s="67"/>
    </row>
    <row r="12" spans="2:17" ht="14.4" customHeight="1" x14ac:dyDescent="0.3">
      <c r="C12" s="133"/>
      <c r="D12" s="134"/>
      <c r="E12" s="134"/>
      <c r="F12" s="236" t="s">
        <v>110</v>
      </c>
      <c r="G12" s="236"/>
      <c r="H12" s="52" t="s">
        <v>37</v>
      </c>
      <c r="I12" s="52" t="s">
        <v>38</v>
      </c>
      <c r="J12" s="49" t="s">
        <v>109</v>
      </c>
    </row>
    <row r="13" spans="2:17" x14ac:dyDescent="0.3">
      <c r="B13" s="6"/>
      <c r="C13" s="135" t="str">
        <f>"High Season "&amp;'Tariffs Inputs'!C34&amp;" "&amp;'Tariffs Inputs'!D34&amp;" comparison"</f>
        <v>High Season B TOU Tariff 2 comparison</v>
      </c>
      <c r="D13" s="6"/>
      <c r="E13" s="6"/>
      <c r="F13" s="237"/>
      <c r="G13" s="237"/>
      <c r="H13" s="136">
        <v>0.13</v>
      </c>
      <c r="I13" s="132">
        <v>0.35</v>
      </c>
      <c r="J13" s="137">
        <f>100%-(H13+I13)</f>
        <v>0.52</v>
      </c>
      <c r="K13" s="6"/>
      <c r="L13" s="6"/>
      <c r="M13" s="6"/>
      <c r="N13" s="6"/>
      <c r="O13" s="6"/>
      <c r="P13" s="6"/>
    </row>
    <row r="14" spans="2:17" ht="26.4" customHeight="1" x14ac:dyDescent="0.3">
      <c r="B14" s="63" t="s">
        <v>3</v>
      </c>
      <c r="C14" s="144" t="str">
        <f>C3</f>
        <v>Year 1 High Season</v>
      </c>
      <c r="D14" s="145"/>
      <c r="E14" s="145"/>
      <c r="F14" s="145"/>
      <c r="G14" s="145"/>
      <c r="H14" s="146"/>
      <c r="I14" s="144" t="str">
        <f>I3</f>
        <v>Year 2 High Season</v>
      </c>
      <c r="J14" s="145"/>
      <c r="K14" s="145"/>
      <c r="L14" s="145"/>
      <c r="M14" s="145"/>
      <c r="N14" s="146"/>
      <c r="O14" s="148" t="s">
        <v>9</v>
      </c>
      <c r="P14" s="149" t="s">
        <v>10</v>
      </c>
      <c r="Q14" s="12"/>
    </row>
    <row r="15" spans="2:17" ht="48" customHeight="1" x14ac:dyDescent="0.3">
      <c r="B15" s="69" t="s">
        <v>1</v>
      </c>
      <c r="C15" s="53" t="s">
        <v>6</v>
      </c>
      <c r="D15" s="65" t="s">
        <v>25</v>
      </c>
      <c r="E15" s="53" t="s">
        <v>106</v>
      </c>
      <c r="F15" s="53" t="s">
        <v>107</v>
      </c>
      <c r="G15" s="53" t="s">
        <v>108</v>
      </c>
      <c r="H15" s="53" t="s">
        <v>2</v>
      </c>
      <c r="I15" s="53" t="s">
        <v>6</v>
      </c>
      <c r="J15" s="65" t="s">
        <v>25</v>
      </c>
      <c r="K15" s="53" t="s">
        <v>106</v>
      </c>
      <c r="L15" s="53" t="s">
        <v>107</v>
      </c>
      <c r="M15" s="53" t="s">
        <v>108</v>
      </c>
      <c r="N15" s="65" t="s">
        <v>2</v>
      </c>
      <c r="O15" s="238"/>
      <c r="P15" s="239"/>
      <c r="Q15" s="12"/>
    </row>
    <row r="16" spans="2:17" x14ac:dyDescent="0.3">
      <c r="B16" s="71">
        <v>600</v>
      </c>
      <c r="C16" s="9">
        <f>'Tariffs Inputs'!$J$34</f>
        <v>0</v>
      </c>
      <c r="D16" s="24">
        <f>'Tariffs Inputs'!$K$34*'Tariffs Inputs'!$AB$34</f>
        <v>0</v>
      </c>
      <c r="E16" s="9">
        <f>B16*$H$13*'Tariffs Inputs'!$L$34</f>
        <v>390</v>
      </c>
      <c r="F16" s="9">
        <f>B16*$I$13*'Tariffs Inputs'!$M$34</f>
        <v>252</v>
      </c>
      <c r="G16" s="9">
        <f>B16*$J$13*'Tariffs Inputs'!$N$34</f>
        <v>312</v>
      </c>
      <c r="H16" s="51">
        <f>SUM(C16:G16)</f>
        <v>954</v>
      </c>
      <c r="I16" s="11">
        <f>'Tariffs Inputs'!$T$34</f>
        <v>2</v>
      </c>
      <c r="J16" s="30">
        <f>'Tariffs Inputs'!$U$34*'Tariffs Inputs'!$AB$34</f>
        <v>0</v>
      </c>
      <c r="K16" s="11">
        <f>B16*$H$13*'Tariffs Inputs'!$V$34</f>
        <v>405.6</v>
      </c>
      <c r="L16" s="11">
        <f>B16*$I$13*'Tariffs Inputs'!$W$34</f>
        <v>273</v>
      </c>
      <c r="M16" s="11">
        <f>B16*$J$13*'Tariffs Inputs'!$X$34</f>
        <v>374.4</v>
      </c>
      <c r="N16" s="28">
        <f>SUM(I16:M16)</f>
        <v>1055</v>
      </c>
      <c r="O16" s="75">
        <f>+N16-H16</f>
        <v>101</v>
      </c>
      <c r="P16" s="138">
        <f>+O16/H16</f>
        <v>0.10587002096436059</v>
      </c>
      <c r="Q16" s="12"/>
    </row>
    <row r="17" spans="2:17" x14ac:dyDescent="0.3">
      <c r="B17" s="72">
        <v>700</v>
      </c>
      <c r="C17" s="9">
        <f>'Tariffs Inputs'!$J$34</f>
        <v>0</v>
      </c>
      <c r="D17" s="24">
        <f>'Tariffs Inputs'!$K$34*'Tariffs Inputs'!$AB$34</f>
        <v>0</v>
      </c>
      <c r="E17" s="9">
        <f>B17*$H$13*'Tariffs Inputs'!$L$34</f>
        <v>455</v>
      </c>
      <c r="F17" s="9">
        <f>B17*$I$13*'Tariffs Inputs'!$M$34</f>
        <v>293.99999999999994</v>
      </c>
      <c r="G17" s="9">
        <f>B17*$J$13*'Tariffs Inputs'!$N$34</f>
        <v>364</v>
      </c>
      <c r="H17" s="51">
        <f t="shared" ref="H17:H20" si="2">SUM(C17:G17)</f>
        <v>1113</v>
      </c>
      <c r="I17" s="11">
        <f>'Tariffs Inputs'!$T$34</f>
        <v>2</v>
      </c>
      <c r="J17" s="30">
        <f>'Tariffs Inputs'!$U$34*'Tariffs Inputs'!$AB$34</f>
        <v>0</v>
      </c>
      <c r="K17" s="11">
        <f>B17*$H$13*'Tariffs Inputs'!$V$34</f>
        <v>473.2</v>
      </c>
      <c r="L17" s="11">
        <f>B17*$I$13*'Tariffs Inputs'!$W$34</f>
        <v>318.5</v>
      </c>
      <c r="M17" s="11">
        <f>B17*$J$13*'Tariffs Inputs'!$X$34</f>
        <v>436.8</v>
      </c>
      <c r="N17" s="28">
        <f t="shared" ref="N17:N19" si="3">SUM(I17:M17)</f>
        <v>1230.5</v>
      </c>
      <c r="O17" s="77">
        <f>+N17-H17</f>
        <v>117.5</v>
      </c>
      <c r="P17" s="78">
        <f>+O17/H17</f>
        <v>0.10557053009883198</v>
      </c>
      <c r="Q17" s="12"/>
    </row>
    <row r="18" spans="2:17" x14ac:dyDescent="0.3">
      <c r="B18" s="71">
        <v>800</v>
      </c>
      <c r="C18" s="9">
        <f>'Tariffs Inputs'!$J$34</f>
        <v>0</v>
      </c>
      <c r="D18" s="24">
        <f>'Tariffs Inputs'!$K$34*'Tariffs Inputs'!$AB$34</f>
        <v>0</v>
      </c>
      <c r="E18" s="9">
        <f>B18*$H$13*'Tariffs Inputs'!$L$34</f>
        <v>520</v>
      </c>
      <c r="F18" s="9">
        <f>B18*$I$13*'Tariffs Inputs'!$M$34</f>
        <v>336</v>
      </c>
      <c r="G18" s="9">
        <f>B18*$J$13*'Tariffs Inputs'!$N$34</f>
        <v>416</v>
      </c>
      <c r="H18" s="51">
        <f t="shared" si="2"/>
        <v>1272</v>
      </c>
      <c r="I18" s="11">
        <f>'Tariffs Inputs'!$T$34</f>
        <v>2</v>
      </c>
      <c r="J18" s="30">
        <f>'Tariffs Inputs'!$U$34*'Tariffs Inputs'!$AB$34</f>
        <v>0</v>
      </c>
      <c r="K18" s="11">
        <f>B18*$H$13*'Tariffs Inputs'!$V$34</f>
        <v>540.80000000000007</v>
      </c>
      <c r="L18" s="11">
        <f>B18*$I$13*'Tariffs Inputs'!$W$34</f>
        <v>364</v>
      </c>
      <c r="M18" s="11">
        <f>B18*$J$13*'Tariffs Inputs'!$X$34</f>
        <v>499.2</v>
      </c>
      <c r="N18" s="28">
        <f t="shared" si="3"/>
        <v>1406</v>
      </c>
      <c r="O18" s="75">
        <f>+N18-H18</f>
        <v>134</v>
      </c>
      <c r="P18" s="138">
        <f>+O18/H18</f>
        <v>0.10534591194968554</v>
      </c>
      <c r="Q18" s="12"/>
    </row>
    <row r="19" spans="2:17" x14ac:dyDescent="0.3">
      <c r="B19" s="72">
        <v>900</v>
      </c>
      <c r="C19" s="9">
        <f>'Tariffs Inputs'!$J$34</f>
        <v>0</v>
      </c>
      <c r="D19" s="24">
        <f>'Tariffs Inputs'!$K$34*'Tariffs Inputs'!$AB$34</f>
        <v>0</v>
      </c>
      <c r="E19" s="9">
        <f>B19*$H$13*'Tariffs Inputs'!$L$34</f>
        <v>585</v>
      </c>
      <c r="F19" s="9">
        <f>B19*$I$13*'Tariffs Inputs'!$M$34</f>
        <v>378</v>
      </c>
      <c r="G19" s="9">
        <f>B19*$J$13*'Tariffs Inputs'!$N$34</f>
        <v>468</v>
      </c>
      <c r="H19" s="51">
        <f t="shared" si="2"/>
        <v>1431</v>
      </c>
      <c r="I19" s="11">
        <f>'Tariffs Inputs'!$T$34</f>
        <v>2</v>
      </c>
      <c r="J19" s="30">
        <f>'Tariffs Inputs'!$U$34*'Tariffs Inputs'!$AB$34</f>
        <v>0</v>
      </c>
      <c r="K19" s="11">
        <f>B19*$H$13*'Tariffs Inputs'!$V$34</f>
        <v>608.4</v>
      </c>
      <c r="L19" s="11">
        <f>B19*$I$13*'Tariffs Inputs'!$W$34</f>
        <v>409.5</v>
      </c>
      <c r="M19" s="11">
        <f>B19*$J$13*'Tariffs Inputs'!$X$34</f>
        <v>561.6</v>
      </c>
      <c r="N19" s="28">
        <f t="shared" si="3"/>
        <v>1581.5</v>
      </c>
      <c r="O19" s="77">
        <f>+N19-H19</f>
        <v>150.5</v>
      </c>
      <c r="P19" s="78">
        <f>+O19/H19</f>
        <v>0.10517120894479386</v>
      </c>
      <c r="Q19" s="12"/>
    </row>
    <row r="20" spans="2:17" x14ac:dyDescent="0.3">
      <c r="B20" s="71">
        <v>1000</v>
      </c>
      <c r="C20" s="9">
        <f>'Tariffs Inputs'!$J$34</f>
        <v>0</v>
      </c>
      <c r="D20" s="24">
        <f>'Tariffs Inputs'!$K$34*'Tariffs Inputs'!$AB$34</f>
        <v>0</v>
      </c>
      <c r="E20" s="9">
        <f>B20*$H$13*'Tariffs Inputs'!$L$34</f>
        <v>650</v>
      </c>
      <c r="F20" s="9">
        <f>B20*$I$13*'Tariffs Inputs'!$M$34</f>
        <v>420</v>
      </c>
      <c r="G20" s="9">
        <f>B20*$J$13*'Tariffs Inputs'!$N$34</f>
        <v>520</v>
      </c>
      <c r="H20" s="51">
        <f t="shared" si="2"/>
        <v>1590</v>
      </c>
      <c r="I20" s="11">
        <f>'Tariffs Inputs'!$T$34</f>
        <v>2</v>
      </c>
      <c r="J20" s="30">
        <f>'Tariffs Inputs'!$U$34*'Tariffs Inputs'!$AB$34</f>
        <v>0</v>
      </c>
      <c r="K20" s="11">
        <f>B20*$H$13*'Tariffs Inputs'!$V$34</f>
        <v>676</v>
      </c>
      <c r="L20" s="11">
        <f>B20*$I$13*'Tariffs Inputs'!$W$34</f>
        <v>455</v>
      </c>
      <c r="M20" s="11">
        <f>B20*$J$13*'Tariffs Inputs'!$X$34</f>
        <v>624</v>
      </c>
      <c r="N20" s="28">
        <f>SUM(I20:M20)</f>
        <v>1757</v>
      </c>
      <c r="O20" s="75">
        <f>+N20-H20</f>
        <v>167</v>
      </c>
      <c r="P20" s="138">
        <f>+O20/H20</f>
        <v>0.10503144654088051</v>
      </c>
      <c r="Q20" s="12"/>
    </row>
    <row r="21" spans="2:17" x14ac:dyDescent="0.3">
      <c r="B21" s="1"/>
      <c r="C21" s="2"/>
      <c r="D21" s="2"/>
      <c r="E21" s="2"/>
      <c r="F21" s="2"/>
      <c r="G21" s="2"/>
      <c r="H21" s="2"/>
      <c r="I21" s="2"/>
      <c r="J21" s="2"/>
      <c r="K21" s="3"/>
      <c r="L21" s="4"/>
      <c r="M21" s="4"/>
      <c r="N21" s="4"/>
      <c r="O21" s="4"/>
      <c r="P21" s="4"/>
      <c r="Q21" s="12"/>
    </row>
    <row r="23" spans="2:17" ht="14.4" customHeight="1" x14ac:dyDescent="0.3">
      <c r="C23" s="133"/>
      <c r="D23" s="134"/>
      <c r="E23" s="134"/>
      <c r="F23" s="236" t="s">
        <v>110</v>
      </c>
      <c r="G23" s="236"/>
      <c r="H23" s="52" t="s">
        <v>37</v>
      </c>
      <c r="I23" s="52" t="s">
        <v>38</v>
      </c>
      <c r="J23" s="49" t="s">
        <v>109</v>
      </c>
    </row>
    <row r="24" spans="2:17" x14ac:dyDescent="0.3">
      <c r="B24" s="6"/>
      <c r="C24" s="135" t="str">
        <f>"High Season "&amp;'Tariffs Inputs'!C35&amp;" "&amp;'Tariffs Inputs'!D35&amp;" comparison"</f>
        <v>High Season C TOU Tariff 3 comparison</v>
      </c>
      <c r="D24" s="6"/>
      <c r="E24" s="6"/>
      <c r="F24" s="237"/>
      <c r="G24" s="237"/>
      <c r="H24" s="136">
        <v>0.2</v>
      </c>
      <c r="I24" s="132">
        <v>0.1</v>
      </c>
      <c r="J24" s="137">
        <f>100%-(H24+I24)</f>
        <v>0.7</v>
      </c>
      <c r="K24" s="6"/>
      <c r="L24" s="6"/>
      <c r="M24" s="6"/>
      <c r="N24" s="6"/>
      <c r="O24" s="6"/>
      <c r="P24" s="6"/>
    </row>
    <row r="25" spans="2:17" ht="43.2" x14ac:dyDescent="0.3">
      <c r="B25" s="63" t="s">
        <v>3</v>
      </c>
      <c r="C25" s="144" t="str">
        <f>C3</f>
        <v>Year 1 High Season</v>
      </c>
      <c r="D25" s="145"/>
      <c r="E25" s="145"/>
      <c r="F25" s="145"/>
      <c r="G25" s="145"/>
      <c r="H25" s="146"/>
      <c r="I25" s="144" t="str">
        <f>I3</f>
        <v>Year 2 High Season</v>
      </c>
      <c r="J25" s="145"/>
      <c r="K25" s="145"/>
      <c r="L25" s="145"/>
      <c r="M25" s="145"/>
      <c r="N25" s="146"/>
      <c r="O25" s="148" t="s">
        <v>9</v>
      </c>
      <c r="P25" s="149" t="s">
        <v>10</v>
      </c>
    </row>
    <row r="26" spans="2:17" ht="43.2" x14ac:dyDescent="0.3">
      <c r="B26" s="69" t="s">
        <v>1</v>
      </c>
      <c r="C26" s="53" t="s">
        <v>6</v>
      </c>
      <c r="D26" s="65" t="s">
        <v>25</v>
      </c>
      <c r="E26" s="53" t="s">
        <v>106</v>
      </c>
      <c r="F26" s="53" t="s">
        <v>107</v>
      </c>
      <c r="G26" s="53" t="s">
        <v>108</v>
      </c>
      <c r="H26" s="53" t="s">
        <v>2</v>
      </c>
      <c r="I26" s="53" t="s">
        <v>6</v>
      </c>
      <c r="J26" s="65" t="s">
        <v>25</v>
      </c>
      <c r="K26" s="53" t="s">
        <v>106</v>
      </c>
      <c r="L26" s="53" t="s">
        <v>107</v>
      </c>
      <c r="M26" s="53" t="s">
        <v>108</v>
      </c>
      <c r="N26" s="65" t="s">
        <v>2</v>
      </c>
      <c r="O26" s="238"/>
      <c r="P26" s="239"/>
    </row>
    <row r="27" spans="2:17" x14ac:dyDescent="0.3">
      <c r="B27" s="71">
        <v>600</v>
      </c>
      <c r="C27" s="9">
        <f>'Tariffs Inputs'!$J$35</f>
        <v>0</v>
      </c>
      <c r="D27" s="24">
        <f>'Tariffs Inputs'!$K$35*'Tariffs Inputs'!$AB$35</f>
        <v>0</v>
      </c>
      <c r="E27" s="9">
        <f>B27*$H$24*'Tariffs Inputs'!$L$35</f>
        <v>600</v>
      </c>
      <c r="F27" s="9">
        <f>B27*$I$24*'Tariffs Inputs'!$M$35</f>
        <v>72</v>
      </c>
      <c r="G27" s="9">
        <f>B27*$J$24*'Tariffs Inputs'!$N$35</f>
        <v>420</v>
      </c>
      <c r="H27" s="51">
        <f>SUM(C27:G27)</f>
        <v>1092</v>
      </c>
      <c r="I27" s="11">
        <f>'Tariffs Inputs'!$T$35</f>
        <v>2</v>
      </c>
      <c r="J27" s="30">
        <f>'Tariffs Inputs'!$U$35*'Tariffs Inputs'!$AB$35</f>
        <v>0</v>
      </c>
      <c r="K27" s="11">
        <f>B27*$H$24*'Tariffs Inputs'!$V$35</f>
        <v>708</v>
      </c>
      <c r="L27" s="11">
        <f>B27*$I$24*'Tariffs Inputs'!$W$35</f>
        <v>90</v>
      </c>
      <c r="M27" s="11">
        <f>B27*$J$24*'Tariffs Inputs'!$X$35</f>
        <v>504</v>
      </c>
      <c r="N27" s="28">
        <f>SUM(I27:M27)</f>
        <v>1304</v>
      </c>
      <c r="O27" s="75">
        <f>+N27-H27</f>
        <v>212</v>
      </c>
      <c r="P27" s="138">
        <f>+O27/H27</f>
        <v>0.19413919413919414</v>
      </c>
    </row>
    <row r="28" spans="2:17" x14ac:dyDescent="0.3">
      <c r="B28" s="72">
        <v>700</v>
      </c>
      <c r="C28" s="9">
        <f>'Tariffs Inputs'!$J$35</f>
        <v>0</v>
      </c>
      <c r="D28" s="24">
        <f>'Tariffs Inputs'!$K$35*'Tariffs Inputs'!$AB$35</f>
        <v>0</v>
      </c>
      <c r="E28" s="9">
        <f>B28*$H$24*'Tariffs Inputs'!$L$35</f>
        <v>700</v>
      </c>
      <c r="F28" s="9">
        <f>B28*$I$24*'Tariffs Inputs'!$M$35</f>
        <v>84</v>
      </c>
      <c r="G28" s="9">
        <f>B28*$J$24*'Tariffs Inputs'!$N$35</f>
        <v>489.99999999999994</v>
      </c>
      <c r="H28" s="51">
        <f t="shared" ref="H28:H31" si="4">SUM(C28:G28)</f>
        <v>1274</v>
      </c>
      <c r="I28" s="11">
        <f>'Tariffs Inputs'!$T$35</f>
        <v>2</v>
      </c>
      <c r="J28" s="30">
        <f>'Tariffs Inputs'!$U$35*'Tariffs Inputs'!$AB$35</f>
        <v>0</v>
      </c>
      <c r="K28" s="11">
        <f>B28*$H$24*'Tariffs Inputs'!$V$35</f>
        <v>826</v>
      </c>
      <c r="L28" s="11">
        <f>B28*$I$24*'Tariffs Inputs'!$W$35</f>
        <v>105</v>
      </c>
      <c r="M28" s="11">
        <f>B28*$J$24*'Tariffs Inputs'!$X$35</f>
        <v>587.99999999999989</v>
      </c>
      <c r="N28" s="28">
        <f t="shared" ref="N28:N30" si="5">SUM(I28:M28)</f>
        <v>1521</v>
      </c>
      <c r="O28" s="77">
        <f>+N28-H28</f>
        <v>247</v>
      </c>
      <c r="P28" s="78">
        <f>+O28/H28</f>
        <v>0.19387755102040816</v>
      </c>
    </row>
    <row r="29" spans="2:17" x14ac:dyDescent="0.3">
      <c r="B29" s="71">
        <v>800</v>
      </c>
      <c r="C29" s="9">
        <f>'Tariffs Inputs'!$J$35</f>
        <v>0</v>
      </c>
      <c r="D29" s="24">
        <f>'Tariffs Inputs'!$K$35*'Tariffs Inputs'!$AB$35</f>
        <v>0</v>
      </c>
      <c r="E29" s="9">
        <f>B29*$H$24*'Tariffs Inputs'!$L$35</f>
        <v>800</v>
      </c>
      <c r="F29" s="9">
        <f>B29*$I$24*'Tariffs Inputs'!$M$35</f>
        <v>96</v>
      </c>
      <c r="G29" s="9">
        <f>B29*$J$24*'Tariffs Inputs'!$N$35</f>
        <v>560</v>
      </c>
      <c r="H29" s="51">
        <f t="shared" si="4"/>
        <v>1456</v>
      </c>
      <c r="I29" s="11">
        <f>'Tariffs Inputs'!$T$35</f>
        <v>2</v>
      </c>
      <c r="J29" s="30">
        <f>'Tariffs Inputs'!$U$35*'Tariffs Inputs'!$AB$35</f>
        <v>0</v>
      </c>
      <c r="K29" s="11">
        <f>B29*$H$24*'Tariffs Inputs'!$V$35</f>
        <v>944</v>
      </c>
      <c r="L29" s="11">
        <f>B29*$I$24*'Tariffs Inputs'!$W$35</f>
        <v>120</v>
      </c>
      <c r="M29" s="11">
        <f>B29*$J$24*'Tariffs Inputs'!$X$35</f>
        <v>672</v>
      </c>
      <c r="N29" s="28">
        <f t="shared" si="5"/>
        <v>1738</v>
      </c>
      <c r="O29" s="75">
        <f>+N29-H29</f>
        <v>282</v>
      </c>
      <c r="P29" s="138">
        <f>+O29/H29</f>
        <v>0.19368131868131869</v>
      </c>
    </row>
    <row r="30" spans="2:17" x14ac:dyDescent="0.3">
      <c r="B30" s="72">
        <v>900</v>
      </c>
      <c r="C30" s="9">
        <f>'Tariffs Inputs'!$J$35</f>
        <v>0</v>
      </c>
      <c r="D30" s="24">
        <f>'Tariffs Inputs'!$K$35*'Tariffs Inputs'!$AB$35</f>
        <v>0</v>
      </c>
      <c r="E30" s="9">
        <f>B30*$H$24*'Tariffs Inputs'!$L$35</f>
        <v>900</v>
      </c>
      <c r="F30" s="9">
        <f>B30*$I$24*'Tariffs Inputs'!$M$35</f>
        <v>108</v>
      </c>
      <c r="G30" s="9">
        <f>B30*$J$24*'Tariffs Inputs'!$N$35</f>
        <v>630</v>
      </c>
      <c r="H30" s="51">
        <f t="shared" si="4"/>
        <v>1638</v>
      </c>
      <c r="I30" s="11">
        <f>'Tariffs Inputs'!$T$35</f>
        <v>2</v>
      </c>
      <c r="J30" s="30">
        <f>'Tariffs Inputs'!$U$35*'Tariffs Inputs'!$AB$35</f>
        <v>0</v>
      </c>
      <c r="K30" s="11">
        <f>B30*$H$24*'Tariffs Inputs'!$V$35</f>
        <v>1062</v>
      </c>
      <c r="L30" s="11">
        <f>B30*$I$24*'Tariffs Inputs'!$W$35</f>
        <v>135</v>
      </c>
      <c r="M30" s="11">
        <f>B30*$J$24*'Tariffs Inputs'!$X$35</f>
        <v>756</v>
      </c>
      <c r="N30" s="28">
        <f t="shared" si="5"/>
        <v>1955</v>
      </c>
      <c r="O30" s="77">
        <f>+N30-H30</f>
        <v>317</v>
      </c>
      <c r="P30" s="78">
        <f>+O30/H30</f>
        <v>0.19352869352869354</v>
      </c>
    </row>
    <row r="31" spans="2:17" x14ac:dyDescent="0.3">
      <c r="B31" s="71">
        <v>1000</v>
      </c>
      <c r="C31" s="9">
        <f>'Tariffs Inputs'!$J$35</f>
        <v>0</v>
      </c>
      <c r="D31" s="24">
        <f>'Tariffs Inputs'!$K$35*'Tariffs Inputs'!$AB$35</f>
        <v>0</v>
      </c>
      <c r="E31" s="9">
        <f>B31*$H$24*'Tariffs Inputs'!$L$35</f>
        <v>1000</v>
      </c>
      <c r="F31" s="9">
        <f>B31*$I$24*'Tariffs Inputs'!$M$35</f>
        <v>120</v>
      </c>
      <c r="G31" s="9">
        <f>B31*$J$24*'Tariffs Inputs'!$N$35</f>
        <v>700</v>
      </c>
      <c r="H31" s="51">
        <f t="shared" si="4"/>
        <v>1820</v>
      </c>
      <c r="I31" s="11">
        <f>'Tariffs Inputs'!$T$35</f>
        <v>2</v>
      </c>
      <c r="J31" s="30">
        <f>'Tariffs Inputs'!$U$35*'Tariffs Inputs'!$AB$35</f>
        <v>0</v>
      </c>
      <c r="K31" s="11">
        <f>B31*$H$24*'Tariffs Inputs'!$V$35</f>
        <v>1180</v>
      </c>
      <c r="L31" s="11">
        <f>B31*$I$24*'Tariffs Inputs'!$W$35</f>
        <v>150</v>
      </c>
      <c r="M31" s="11">
        <f>B31*$J$24*'Tariffs Inputs'!$X$35</f>
        <v>840</v>
      </c>
      <c r="N31" s="28">
        <f>SUM(I31:M31)</f>
        <v>2172</v>
      </c>
      <c r="O31" s="75">
        <f>+N31-H31</f>
        <v>352</v>
      </c>
      <c r="P31" s="138">
        <f>+O31/H31</f>
        <v>0.19340659340659341</v>
      </c>
    </row>
    <row r="32" spans="2:17" x14ac:dyDescent="0.3">
      <c r="B32" s="1"/>
      <c r="C32" s="2"/>
      <c r="D32" s="2"/>
      <c r="E32" s="2"/>
      <c r="F32" s="2"/>
      <c r="G32" s="2"/>
      <c r="H32" s="2"/>
      <c r="I32" s="2"/>
      <c r="J32" s="2"/>
      <c r="K32" s="3"/>
      <c r="L32" s="4"/>
      <c r="M32" s="4"/>
      <c r="N32" s="4"/>
      <c r="O32" s="4"/>
      <c r="P32" s="4"/>
    </row>
    <row r="34" spans="2:16" ht="14.4" customHeight="1" x14ac:dyDescent="0.3">
      <c r="C34" s="133"/>
      <c r="D34" s="134"/>
      <c r="E34" s="134"/>
      <c r="F34" s="236" t="s">
        <v>110</v>
      </c>
      <c r="G34" s="236"/>
      <c r="H34" s="52" t="s">
        <v>37</v>
      </c>
      <c r="I34" s="52" t="s">
        <v>38</v>
      </c>
      <c r="J34" s="49" t="s">
        <v>109</v>
      </c>
    </row>
    <row r="35" spans="2:16" x14ac:dyDescent="0.3">
      <c r="B35" s="6"/>
      <c r="C35" s="135" t="str">
        <f>"High Season "&amp;'Tariffs Inputs'!C36&amp;" "&amp;'Tariffs Inputs'!D36&amp;" comparison"</f>
        <v>High Season D TOU Tariff 4 comparison</v>
      </c>
      <c r="D35" s="6"/>
      <c r="E35" s="6"/>
      <c r="F35" s="237"/>
      <c r="G35" s="237"/>
      <c r="H35" s="136">
        <v>0.1</v>
      </c>
      <c r="I35" s="132">
        <v>0.5</v>
      </c>
      <c r="J35" s="137">
        <f>100%-(H35+I35)</f>
        <v>0.4</v>
      </c>
      <c r="K35" s="6"/>
      <c r="L35" s="6"/>
      <c r="M35" s="6"/>
      <c r="N35" s="6"/>
      <c r="O35" s="6"/>
      <c r="P35" s="6"/>
    </row>
    <row r="36" spans="2:16" ht="43.2" x14ac:dyDescent="0.3">
      <c r="B36" s="63" t="s">
        <v>3</v>
      </c>
      <c r="C36" s="144" t="str">
        <f>C3</f>
        <v>Year 1 High Season</v>
      </c>
      <c r="D36" s="145"/>
      <c r="E36" s="145"/>
      <c r="F36" s="145"/>
      <c r="G36" s="145"/>
      <c r="H36" s="146"/>
      <c r="I36" s="144" t="str">
        <f>I3</f>
        <v>Year 2 High Season</v>
      </c>
      <c r="J36" s="145"/>
      <c r="K36" s="145"/>
      <c r="L36" s="145"/>
      <c r="M36" s="145"/>
      <c r="N36" s="146"/>
      <c r="O36" s="148" t="s">
        <v>9</v>
      </c>
      <c r="P36" s="149" t="s">
        <v>10</v>
      </c>
    </row>
    <row r="37" spans="2:16" ht="43.2" x14ac:dyDescent="0.3">
      <c r="B37" s="69" t="s">
        <v>1</v>
      </c>
      <c r="C37" s="53" t="s">
        <v>6</v>
      </c>
      <c r="D37" s="65" t="s">
        <v>25</v>
      </c>
      <c r="E37" s="53" t="s">
        <v>106</v>
      </c>
      <c r="F37" s="53" t="s">
        <v>107</v>
      </c>
      <c r="G37" s="53" t="s">
        <v>108</v>
      </c>
      <c r="H37" s="53" t="s">
        <v>2</v>
      </c>
      <c r="I37" s="53" t="s">
        <v>6</v>
      </c>
      <c r="J37" s="65" t="s">
        <v>25</v>
      </c>
      <c r="K37" s="53" t="s">
        <v>106</v>
      </c>
      <c r="L37" s="53" t="s">
        <v>107</v>
      </c>
      <c r="M37" s="53" t="s">
        <v>108</v>
      </c>
      <c r="N37" s="65" t="s">
        <v>2</v>
      </c>
      <c r="O37" s="238"/>
      <c r="P37" s="239"/>
    </row>
    <row r="38" spans="2:16" x14ac:dyDescent="0.3">
      <c r="B38" s="71">
        <v>600</v>
      </c>
      <c r="C38" s="9">
        <f>'Tariffs Inputs'!$J$36</f>
        <v>0</v>
      </c>
      <c r="D38" s="24">
        <f>'Tariffs Inputs'!$K$36*'Tariffs Inputs'!$AB$36</f>
        <v>0</v>
      </c>
      <c r="E38" s="9">
        <f>B38*$H$35*'Tariffs Inputs'!$L$36</f>
        <v>300</v>
      </c>
      <c r="F38" s="9">
        <f>B38*$I$35*'Tariffs Inputs'!$M$36</f>
        <v>360</v>
      </c>
      <c r="G38" s="9">
        <f>B38*$J$35*'Tariffs Inputs'!$N$36</f>
        <v>240</v>
      </c>
      <c r="H38" s="51">
        <f>SUM(C38:G38)</f>
        <v>900</v>
      </c>
      <c r="I38" s="11">
        <f>'Tariffs Inputs'!$T$36</f>
        <v>2</v>
      </c>
      <c r="J38" s="30">
        <f>'Tariffs Inputs'!$U$36*'Tariffs Inputs'!$AB$36</f>
        <v>0</v>
      </c>
      <c r="K38" s="11">
        <f>B38*$H$35*'Tariffs Inputs'!$V$36</f>
        <v>318</v>
      </c>
      <c r="L38" s="11">
        <f>B38*$I$35*'Tariffs Inputs'!$W$36</f>
        <v>366</v>
      </c>
      <c r="M38" s="11">
        <f>B38*$J$35*'Tariffs Inputs'!$X$36</f>
        <v>312</v>
      </c>
      <c r="N38" s="28">
        <f>SUM(I38:M38)</f>
        <v>998</v>
      </c>
      <c r="O38" s="75">
        <f>+N38-H38</f>
        <v>98</v>
      </c>
      <c r="P38" s="138">
        <f>+O38/H38</f>
        <v>0.10888888888888888</v>
      </c>
    </row>
    <row r="39" spans="2:16" x14ac:dyDescent="0.3">
      <c r="B39" s="72">
        <v>700</v>
      </c>
      <c r="C39" s="9">
        <f>'Tariffs Inputs'!$J$36</f>
        <v>0</v>
      </c>
      <c r="D39" s="24">
        <f>'Tariffs Inputs'!$K$36*'Tariffs Inputs'!$AB$36</f>
        <v>0</v>
      </c>
      <c r="E39" s="9">
        <f>B39*$H$35*'Tariffs Inputs'!$L$36</f>
        <v>350</v>
      </c>
      <c r="F39" s="9">
        <f>B39*$I$35*'Tariffs Inputs'!$M$36</f>
        <v>420</v>
      </c>
      <c r="G39" s="9">
        <f>B39*$J$35*'Tariffs Inputs'!$N$36</f>
        <v>280</v>
      </c>
      <c r="H39" s="51">
        <f t="shared" ref="H39:H42" si="6">SUM(C39:G39)</f>
        <v>1050</v>
      </c>
      <c r="I39" s="11">
        <f>'Tariffs Inputs'!$T$36</f>
        <v>2</v>
      </c>
      <c r="J39" s="30">
        <f>'Tariffs Inputs'!$U$36*'Tariffs Inputs'!$AB$36</f>
        <v>0</v>
      </c>
      <c r="K39" s="11">
        <f>B39*$H$35*'Tariffs Inputs'!$V$36</f>
        <v>371</v>
      </c>
      <c r="L39" s="11">
        <f>B39*$I$35*'Tariffs Inputs'!$W$36</f>
        <v>427</v>
      </c>
      <c r="M39" s="11">
        <f>B39*$J$35*'Tariffs Inputs'!$X$36</f>
        <v>364</v>
      </c>
      <c r="N39" s="28">
        <f t="shared" ref="N39:N41" si="7">SUM(I39:M39)</f>
        <v>1164</v>
      </c>
      <c r="O39" s="77">
        <f>+N39-H39</f>
        <v>114</v>
      </c>
      <c r="P39" s="78">
        <f>+O39/H39</f>
        <v>0.10857142857142857</v>
      </c>
    </row>
    <row r="40" spans="2:16" x14ac:dyDescent="0.3">
      <c r="B40" s="71">
        <v>800</v>
      </c>
      <c r="C40" s="9">
        <f>'Tariffs Inputs'!$J$36</f>
        <v>0</v>
      </c>
      <c r="D40" s="24">
        <f>'Tariffs Inputs'!$K$36*'Tariffs Inputs'!$AB$36</f>
        <v>0</v>
      </c>
      <c r="E40" s="9">
        <f>B40*$H$35*'Tariffs Inputs'!$L$36</f>
        <v>400</v>
      </c>
      <c r="F40" s="9">
        <f>B40*$I$35*'Tariffs Inputs'!$M$36</f>
        <v>480</v>
      </c>
      <c r="G40" s="9">
        <f>B40*$J$35*'Tariffs Inputs'!$N$36</f>
        <v>320</v>
      </c>
      <c r="H40" s="51">
        <f t="shared" si="6"/>
        <v>1200</v>
      </c>
      <c r="I40" s="11">
        <f>'Tariffs Inputs'!$T$36</f>
        <v>2</v>
      </c>
      <c r="J40" s="30">
        <f>'Tariffs Inputs'!$U$36*'Tariffs Inputs'!$AB$36</f>
        <v>0</v>
      </c>
      <c r="K40" s="11">
        <f>B40*$H$35*'Tariffs Inputs'!$V$36</f>
        <v>424</v>
      </c>
      <c r="L40" s="11">
        <f>B40*$I$35*'Tariffs Inputs'!$W$36</f>
        <v>488</v>
      </c>
      <c r="M40" s="11">
        <f>B40*$J$35*'Tariffs Inputs'!$X$36</f>
        <v>416</v>
      </c>
      <c r="N40" s="28">
        <f t="shared" si="7"/>
        <v>1330</v>
      </c>
      <c r="O40" s="75">
        <f>+N40-H40</f>
        <v>130</v>
      </c>
      <c r="P40" s="138">
        <f>+O40/H40</f>
        <v>0.10833333333333334</v>
      </c>
    </row>
    <row r="41" spans="2:16" x14ac:dyDescent="0.3">
      <c r="B41" s="72">
        <v>900</v>
      </c>
      <c r="C41" s="9">
        <f>'Tariffs Inputs'!$J$36</f>
        <v>0</v>
      </c>
      <c r="D41" s="24">
        <f>'Tariffs Inputs'!$K$36*'Tariffs Inputs'!$AB$36</f>
        <v>0</v>
      </c>
      <c r="E41" s="9">
        <f>B41*$H$35*'Tariffs Inputs'!$L$36</f>
        <v>450</v>
      </c>
      <c r="F41" s="9">
        <f>B41*$I$35*'Tariffs Inputs'!$M$36</f>
        <v>540</v>
      </c>
      <c r="G41" s="9">
        <f>B41*$J$35*'Tariffs Inputs'!$N$36</f>
        <v>360</v>
      </c>
      <c r="H41" s="51">
        <f t="shared" si="6"/>
        <v>1350</v>
      </c>
      <c r="I41" s="11">
        <f>'Tariffs Inputs'!$T$36</f>
        <v>2</v>
      </c>
      <c r="J41" s="30">
        <f>'Tariffs Inputs'!$U$36*'Tariffs Inputs'!$AB$36</f>
        <v>0</v>
      </c>
      <c r="K41" s="11">
        <f>B41*$H$35*'Tariffs Inputs'!$V$36</f>
        <v>477</v>
      </c>
      <c r="L41" s="11">
        <f>B41*$I$35*'Tariffs Inputs'!$W$36</f>
        <v>549</v>
      </c>
      <c r="M41" s="11">
        <f>B41*$J$35*'Tariffs Inputs'!$X$36</f>
        <v>468</v>
      </c>
      <c r="N41" s="28">
        <f t="shared" si="7"/>
        <v>1496</v>
      </c>
      <c r="O41" s="77">
        <f>+N41-H41</f>
        <v>146</v>
      </c>
      <c r="P41" s="78">
        <f>+O41/H41</f>
        <v>0.10814814814814815</v>
      </c>
    </row>
    <row r="42" spans="2:16" x14ac:dyDescent="0.3">
      <c r="B42" s="71">
        <v>1000</v>
      </c>
      <c r="C42" s="9">
        <f>'Tariffs Inputs'!$J$36</f>
        <v>0</v>
      </c>
      <c r="D42" s="24">
        <f>'Tariffs Inputs'!$K$36*'Tariffs Inputs'!$AB$36</f>
        <v>0</v>
      </c>
      <c r="E42" s="9">
        <f>B42*$H$35*'Tariffs Inputs'!$L$36</f>
        <v>500</v>
      </c>
      <c r="F42" s="9">
        <f>B42*$I$35*'Tariffs Inputs'!$M$36</f>
        <v>600</v>
      </c>
      <c r="G42" s="9">
        <f>B42*$J$35*'Tariffs Inputs'!$N$36</f>
        <v>400</v>
      </c>
      <c r="H42" s="51">
        <f t="shared" si="6"/>
        <v>1500</v>
      </c>
      <c r="I42" s="11">
        <f>'Tariffs Inputs'!$T$36</f>
        <v>2</v>
      </c>
      <c r="J42" s="30">
        <f>'Tariffs Inputs'!$U$36*'Tariffs Inputs'!$AB$36</f>
        <v>0</v>
      </c>
      <c r="K42" s="11">
        <f>B42*$H$35*'Tariffs Inputs'!$V$36</f>
        <v>530</v>
      </c>
      <c r="L42" s="11">
        <f>B42*$I$35*'Tariffs Inputs'!$W$36</f>
        <v>610</v>
      </c>
      <c r="M42" s="11">
        <f>B42*$J$35*'Tariffs Inputs'!$X$36</f>
        <v>520</v>
      </c>
      <c r="N42" s="28">
        <f>SUM(I42:M42)</f>
        <v>1662</v>
      </c>
      <c r="O42" s="75">
        <f>+N42-H42</f>
        <v>162</v>
      </c>
      <c r="P42" s="138">
        <f>+O42/H42</f>
        <v>0.108</v>
      </c>
    </row>
    <row r="43" spans="2:16" x14ac:dyDescent="0.3">
      <c r="B43" s="1"/>
      <c r="C43" s="2"/>
      <c r="D43" s="2"/>
      <c r="E43" s="2"/>
      <c r="F43" s="2"/>
      <c r="G43" s="2"/>
      <c r="H43" s="2"/>
      <c r="I43" s="2"/>
      <c r="J43" s="2"/>
      <c r="K43" s="3"/>
      <c r="L43" s="4"/>
      <c r="M43" s="4"/>
      <c r="N43" s="4"/>
      <c r="O43" s="4"/>
      <c r="P43" s="4"/>
    </row>
    <row r="45" spans="2:16" ht="14.4" customHeight="1" x14ac:dyDescent="0.3">
      <c r="C45" s="133"/>
      <c r="D45" s="134"/>
      <c r="E45" s="134"/>
      <c r="F45" s="236" t="s">
        <v>110</v>
      </c>
      <c r="G45" s="236"/>
      <c r="H45" s="52" t="s">
        <v>37</v>
      </c>
      <c r="I45" s="52" t="s">
        <v>38</v>
      </c>
      <c r="J45" s="49" t="s">
        <v>109</v>
      </c>
    </row>
    <row r="46" spans="2:16" x14ac:dyDescent="0.3">
      <c r="B46" s="6"/>
      <c r="C46" s="135" t="str">
        <f>"High Season "&amp;'Tariffs Inputs'!C37&amp;" "&amp;'Tariffs Inputs'!D37&amp;" comparison"</f>
        <v>High Season E TOU Tariff 5 comparison</v>
      </c>
      <c r="D46" s="6"/>
      <c r="E46" s="6"/>
      <c r="F46" s="237"/>
      <c r="G46" s="237"/>
      <c r="H46" s="136">
        <v>0.5</v>
      </c>
      <c r="I46" s="132">
        <v>0.1</v>
      </c>
      <c r="J46" s="137">
        <f>100%-(H46+I46)</f>
        <v>0.4</v>
      </c>
      <c r="K46" s="6"/>
      <c r="L46" s="6"/>
      <c r="M46" s="6"/>
      <c r="N46" s="6"/>
      <c r="O46" s="6"/>
      <c r="P46" s="6"/>
    </row>
    <row r="47" spans="2:16" ht="43.2" x14ac:dyDescent="0.3">
      <c r="B47" s="63" t="s">
        <v>3</v>
      </c>
      <c r="C47" s="144" t="str">
        <f>C3</f>
        <v>Year 1 High Season</v>
      </c>
      <c r="D47" s="145"/>
      <c r="E47" s="145"/>
      <c r="F47" s="145"/>
      <c r="G47" s="145"/>
      <c r="H47" s="146"/>
      <c r="I47" s="144" t="str">
        <f>I3</f>
        <v>Year 2 High Season</v>
      </c>
      <c r="J47" s="145"/>
      <c r="K47" s="145"/>
      <c r="L47" s="145"/>
      <c r="M47" s="145"/>
      <c r="N47" s="146"/>
      <c r="O47" s="148" t="s">
        <v>9</v>
      </c>
      <c r="P47" s="151" t="s">
        <v>10</v>
      </c>
    </row>
    <row r="48" spans="2:16" ht="43.2" x14ac:dyDescent="0.3">
      <c r="B48" s="69" t="s">
        <v>1</v>
      </c>
      <c r="C48" s="53" t="s">
        <v>6</v>
      </c>
      <c r="D48" s="65" t="s">
        <v>25</v>
      </c>
      <c r="E48" s="53" t="s">
        <v>106</v>
      </c>
      <c r="F48" s="53" t="s">
        <v>107</v>
      </c>
      <c r="G48" s="53" t="s">
        <v>108</v>
      </c>
      <c r="H48" s="53" t="s">
        <v>2</v>
      </c>
      <c r="I48" s="53" t="s">
        <v>6</v>
      </c>
      <c r="J48" s="65" t="s">
        <v>25</v>
      </c>
      <c r="K48" s="53" t="s">
        <v>106</v>
      </c>
      <c r="L48" s="53" t="s">
        <v>107</v>
      </c>
      <c r="M48" s="53" t="s">
        <v>108</v>
      </c>
      <c r="N48" s="65" t="s">
        <v>2</v>
      </c>
      <c r="O48" s="238"/>
      <c r="P48" s="150"/>
    </row>
    <row r="49" spans="1:16" x14ac:dyDescent="0.3">
      <c r="B49" s="71">
        <v>5000</v>
      </c>
      <c r="C49" s="9">
        <f>'Tariffs Inputs'!$J$37</f>
        <v>0</v>
      </c>
      <c r="D49" s="24">
        <f>'Tariffs Inputs'!$K$37*'Tariffs Inputs'!$AB$37</f>
        <v>0</v>
      </c>
      <c r="E49" s="9">
        <f>B49*$H$46*'Tariffs Inputs'!$L$37</f>
        <v>12500</v>
      </c>
      <c r="F49" s="9">
        <f>B49*$I$46*'Tariffs Inputs'!$M$37</f>
        <v>600</v>
      </c>
      <c r="G49" s="9">
        <f>B49*$J$46*'Tariffs Inputs'!$N$37</f>
        <v>2000</v>
      </c>
      <c r="H49" s="51">
        <f>SUM(C49:G49)</f>
        <v>15100</v>
      </c>
      <c r="I49" s="11">
        <f>'Tariffs Inputs'!$T$37</f>
        <v>2</v>
      </c>
      <c r="J49" s="30">
        <f>'Tariffs Inputs'!$U$37*'Tariffs Inputs'!$AB$37</f>
        <v>0</v>
      </c>
      <c r="K49" s="11">
        <f>B49*$H$46*'Tariffs Inputs'!$V$37</f>
        <v>14000</v>
      </c>
      <c r="L49" s="11">
        <f>B49*$I$46*'Tariffs Inputs'!$W$37</f>
        <v>720</v>
      </c>
      <c r="M49" s="11">
        <f>B49*$J$46*'Tariffs Inputs'!$X$37</f>
        <v>2400</v>
      </c>
      <c r="N49" s="28">
        <f>SUM(I49:M49)</f>
        <v>17122</v>
      </c>
      <c r="O49" s="75">
        <f>+N49-H49</f>
        <v>2022</v>
      </c>
      <c r="P49" s="76">
        <f>+O49/H49</f>
        <v>0.13390728476821193</v>
      </c>
    </row>
    <row r="50" spans="1:16" x14ac:dyDescent="0.3">
      <c r="B50" s="72">
        <v>8000</v>
      </c>
      <c r="C50" s="9">
        <f>'Tariffs Inputs'!$J$37</f>
        <v>0</v>
      </c>
      <c r="D50" s="24">
        <f>'Tariffs Inputs'!$K$37*'Tariffs Inputs'!$AB$37</f>
        <v>0</v>
      </c>
      <c r="E50" s="9">
        <f>B50*$H$46*'Tariffs Inputs'!$L$37</f>
        <v>20000</v>
      </c>
      <c r="F50" s="9">
        <f>B50*$I$46*'Tariffs Inputs'!$M$37</f>
        <v>960</v>
      </c>
      <c r="G50" s="9">
        <f>B50*$J$46*'Tariffs Inputs'!$N$37</f>
        <v>3200</v>
      </c>
      <c r="H50" s="51">
        <f t="shared" ref="H50:H55" si="8">SUM(C50:G50)</f>
        <v>24160</v>
      </c>
      <c r="I50" s="11">
        <f>'Tariffs Inputs'!$T$37</f>
        <v>2</v>
      </c>
      <c r="J50" s="30">
        <f>'Tariffs Inputs'!$U$37*'Tariffs Inputs'!$AB$37</f>
        <v>0</v>
      </c>
      <c r="K50" s="11">
        <f>B50*$H$46*'Tariffs Inputs'!$V$37</f>
        <v>22400</v>
      </c>
      <c r="L50" s="11">
        <f>B50*$I$46*'Tariffs Inputs'!$W$37</f>
        <v>1152</v>
      </c>
      <c r="M50" s="11">
        <f>B50*$J$46*'Tariffs Inputs'!$X$37</f>
        <v>3840</v>
      </c>
      <c r="N50" s="28">
        <f t="shared" ref="N50:N55" si="9">SUM(I50:M50)</f>
        <v>27394</v>
      </c>
      <c r="O50" s="77">
        <f>+N50-H50</f>
        <v>3234</v>
      </c>
      <c r="P50" s="79">
        <f>+O50/H50</f>
        <v>0.13385761589403974</v>
      </c>
    </row>
    <row r="51" spans="1:16" x14ac:dyDescent="0.3">
      <c r="B51" s="71">
        <v>10000</v>
      </c>
      <c r="C51" s="9">
        <f>'Tariffs Inputs'!$J$37</f>
        <v>0</v>
      </c>
      <c r="D51" s="24">
        <f>'Tariffs Inputs'!$K$37*'Tariffs Inputs'!$AB$37</f>
        <v>0</v>
      </c>
      <c r="E51" s="9">
        <f>B51*$H$46*'Tariffs Inputs'!$L$37</f>
        <v>25000</v>
      </c>
      <c r="F51" s="9">
        <f>B51*$I$46*'Tariffs Inputs'!$M$37</f>
        <v>1200</v>
      </c>
      <c r="G51" s="9">
        <f>B51*$J$46*'Tariffs Inputs'!$N$37</f>
        <v>4000</v>
      </c>
      <c r="H51" s="51">
        <f t="shared" si="8"/>
        <v>30200</v>
      </c>
      <c r="I51" s="11">
        <f>'Tariffs Inputs'!$T$37</f>
        <v>2</v>
      </c>
      <c r="J51" s="30">
        <f>'Tariffs Inputs'!$U$37*'Tariffs Inputs'!$AB$37</f>
        <v>0</v>
      </c>
      <c r="K51" s="11">
        <f>B51*$H$46*'Tariffs Inputs'!$V$37</f>
        <v>28000</v>
      </c>
      <c r="L51" s="11">
        <f>B51*$I$46*'Tariffs Inputs'!$W$37</f>
        <v>1440</v>
      </c>
      <c r="M51" s="11">
        <f>B51*$J$46*'Tariffs Inputs'!$X$37</f>
        <v>4800</v>
      </c>
      <c r="N51" s="28">
        <f t="shared" si="9"/>
        <v>34242</v>
      </c>
      <c r="O51" s="75">
        <f>+N51-H51</f>
        <v>4042</v>
      </c>
      <c r="P51" s="76">
        <f>+O51/H51</f>
        <v>0.133841059602649</v>
      </c>
    </row>
    <row r="52" spans="1:16" x14ac:dyDescent="0.3">
      <c r="A52" s="7"/>
      <c r="B52" s="72">
        <v>15000</v>
      </c>
      <c r="C52" s="9">
        <f>'Tariffs Inputs'!$J$37</f>
        <v>0</v>
      </c>
      <c r="D52" s="24">
        <f>'Tariffs Inputs'!$K$37*'Tariffs Inputs'!$AB$37</f>
        <v>0</v>
      </c>
      <c r="E52" s="9">
        <f>B52*$H$46*'Tariffs Inputs'!$L$37</f>
        <v>37500</v>
      </c>
      <c r="F52" s="9">
        <f>B52*$I$46*'Tariffs Inputs'!$M$37</f>
        <v>1800</v>
      </c>
      <c r="G52" s="9">
        <f>B52*$J$46*'Tariffs Inputs'!$N$37</f>
        <v>6000</v>
      </c>
      <c r="H52" s="51">
        <f t="shared" si="8"/>
        <v>45300</v>
      </c>
      <c r="I52" s="11">
        <f>'Tariffs Inputs'!$T$37</f>
        <v>2</v>
      </c>
      <c r="J52" s="30">
        <f>'Tariffs Inputs'!$U$37*'Tariffs Inputs'!$AB$37</f>
        <v>0</v>
      </c>
      <c r="K52" s="11">
        <f>B52*$H$46*'Tariffs Inputs'!$V$37</f>
        <v>42000</v>
      </c>
      <c r="L52" s="11">
        <f>B52*$I$46*'Tariffs Inputs'!$W$37</f>
        <v>2160</v>
      </c>
      <c r="M52" s="11">
        <f>B52*$J$46*'Tariffs Inputs'!$X$37</f>
        <v>7200</v>
      </c>
      <c r="N52" s="28">
        <f t="shared" si="9"/>
        <v>51362</v>
      </c>
      <c r="O52" s="75">
        <f t="shared" ref="O52:O53" si="10">+N52-H52</f>
        <v>6062</v>
      </c>
      <c r="P52" s="76">
        <f t="shared" ref="P52:P53" si="11">+O52/H52</f>
        <v>0.13381898454746136</v>
      </c>
    </row>
    <row r="53" spans="1:16" x14ac:dyDescent="0.3">
      <c r="A53" s="7"/>
      <c r="B53" s="73">
        <v>20000</v>
      </c>
      <c r="C53" s="9">
        <f>'Tariffs Inputs'!$J$37</f>
        <v>0</v>
      </c>
      <c r="D53" s="24">
        <f>'Tariffs Inputs'!$K$37*'Tariffs Inputs'!$AB$37</f>
        <v>0</v>
      </c>
      <c r="E53" s="9">
        <f>B53*$H$46*'Tariffs Inputs'!$L$37</f>
        <v>50000</v>
      </c>
      <c r="F53" s="9">
        <f>B53*$I$46*'Tariffs Inputs'!$M$37</f>
        <v>2400</v>
      </c>
      <c r="G53" s="9">
        <f>B53*$J$46*'Tariffs Inputs'!$N$37</f>
        <v>8000</v>
      </c>
      <c r="H53" s="51">
        <f t="shared" si="8"/>
        <v>60400</v>
      </c>
      <c r="I53" s="11">
        <f>'Tariffs Inputs'!$T$37</f>
        <v>2</v>
      </c>
      <c r="J53" s="30">
        <f>'Tariffs Inputs'!$U$37*'Tariffs Inputs'!$AB$37</f>
        <v>0</v>
      </c>
      <c r="K53" s="11">
        <f>B53*$H$46*'Tariffs Inputs'!$V$37</f>
        <v>56000</v>
      </c>
      <c r="L53" s="11">
        <f>B53*$I$46*'Tariffs Inputs'!$W$37</f>
        <v>2880</v>
      </c>
      <c r="M53" s="11">
        <f>B53*$J$46*'Tariffs Inputs'!$X$37</f>
        <v>9600</v>
      </c>
      <c r="N53" s="28">
        <f t="shared" si="9"/>
        <v>68482</v>
      </c>
      <c r="O53" s="75">
        <f t="shared" si="10"/>
        <v>8082</v>
      </c>
      <c r="P53" s="76">
        <f t="shared" si="11"/>
        <v>0.13380794701986756</v>
      </c>
    </row>
    <row r="54" spans="1:16" x14ac:dyDescent="0.3">
      <c r="A54" s="7"/>
      <c r="B54" s="73">
        <v>25000</v>
      </c>
      <c r="C54" s="9">
        <f>'Tariffs Inputs'!$J$37</f>
        <v>0</v>
      </c>
      <c r="D54" s="24">
        <f>'Tariffs Inputs'!$K$37*'Tariffs Inputs'!$AB$37</f>
        <v>0</v>
      </c>
      <c r="E54" s="9">
        <f>B54*$H$46*'Tariffs Inputs'!$L$37</f>
        <v>62500</v>
      </c>
      <c r="F54" s="9">
        <f>B54*$I$46*'Tariffs Inputs'!$M$37</f>
        <v>3000</v>
      </c>
      <c r="G54" s="9">
        <f>B54*$J$46*'Tariffs Inputs'!$N$37</f>
        <v>10000</v>
      </c>
      <c r="H54" s="51">
        <f t="shared" si="8"/>
        <v>75500</v>
      </c>
      <c r="I54" s="11">
        <f>'Tariffs Inputs'!$T$37</f>
        <v>2</v>
      </c>
      <c r="J54" s="30">
        <f>'Tariffs Inputs'!$U$37*'Tariffs Inputs'!$AB$37</f>
        <v>0</v>
      </c>
      <c r="K54" s="11">
        <f>B54*$H$46*'Tariffs Inputs'!$V$37</f>
        <v>70000</v>
      </c>
      <c r="L54" s="11">
        <f>B54*$I$46*'Tariffs Inputs'!$W$37</f>
        <v>3600</v>
      </c>
      <c r="M54" s="11">
        <f>B54*$J$46*'Tariffs Inputs'!$X$37</f>
        <v>12000</v>
      </c>
      <c r="N54" s="28">
        <f t="shared" si="9"/>
        <v>85602</v>
      </c>
      <c r="O54" s="139">
        <f>+N54-H54</f>
        <v>10102</v>
      </c>
      <c r="P54" s="83">
        <f>+O54/H54</f>
        <v>0.13380132450331125</v>
      </c>
    </row>
    <row r="55" spans="1:16" x14ac:dyDescent="0.3">
      <c r="A55" s="7"/>
      <c r="B55" s="124">
        <v>30000</v>
      </c>
      <c r="C55" s="9">
        <f>'Tariffs Inputs'!$J$37</f>
        <v>0</v>
      </c>
      <c r="D55" s="24">
        <f>'Tariffs Inputs'!$K$37*'Tariffs Inputs'!$AB$37</f>
        <v>0</v>
      </c>
      <c r="E55" s="9">
        <f>B55*$H$46*'Tariffs Inputs'!$L$37</f>
        <v>75000</v>
      </c>
      <c r="F55" s="9">
        <f>B55*$I$46*'Tariffs Inputs'!$M$37</f>
        <v>3600</v>
      </c>
      <c r="G55" s="9">
        <f>B55*$J$46*'Tariffs Inputs'!$N$37</f>
        <v>12000</v>
      </c>
      <c r="H55" s="51">
        <f t="shared" si="8"/>
        <v>90600</v>
      </c>
      <c r="I55" s="11">
        <f>'Tariffs Inputs'!$T$37</f>
        <v>2</v>
      </c>
      <c r="J55" s="30">
        <f>'Tariffs Inputs'!$U$37*'Tariffs Inputs'!$AB$37</f>
        <v>0</v>
      </c>
      <c r="K55" s="11">
        <f>B55*$H$46*'Tariffs Inputs'!$V$37</f>
        <v>84000</v>
      </c>
      <c r="L55" s="11">
        <f>B55*$I$46*'Tariffs Inputs'!$W$37</f>
        <v>4320</v>
      </c>
      <c r="M55" s="11">
        <f>B55*$J$46*'Tariffs Inputs'!$X$37</f>
        <v>14400</v>
      </c>
      <c r="N55" s="28">
        <f t="shared" si="9"/>
        <v>102722</v>
      </c>
      <c r="O55" s="75">
        <f>+N55-H55</f>
        <v>12122</v>
      </c>
      <c r="P55" s="76">
        <f>+O55/H55</f>
        <v>0.13379690949227374</v>
      </c>
    </row>
    <row r="56" spans="1:16" x14ac:dyDescent="0.3">
      <c r="B56" s="1"/>
      <c r="C56" s="2"/>
      <c r="D56" s="2"/>
      <c r="E56" s="2"/>
      <c r="F56" s="2"/>
      <c r="G56" s="2"/>
      <c r="H56" s="2"/>
      <c r="I56" s="2"/>
      <c r="J56" s="2"/>
      <c r="K56" s="3"/>
      <c r="L56" s="4"/>
      <c r="M56" s="4"/>
      <c r="N56" s="4"/>
      <c r="O56" s="4"/>
      <c r="P56" s="67"/>
    </row>
    <row r="58" spans="1:16" ht="14.4" customHeight="1" x14ac:dyDescent="0.3">
      <c r="C58" s="133"/>
      <c r="D58" s="134"/>
      <c r="E58" s="134"/>
      <c r="F58" s="236" t="s">
        <v>110</v>
      </c>
      <c r="G58" s="236"/>
      <c r="H58" s="52" t="s">
        <v>37</v>
      </c>
      <c r="I58" s="52" t="s">
        <v>38</v>
      </c>
      <c r="J58" s="49" t="s">
        <v>109</v>
      </c>
    </row>
    <row r="59" spans="1:16" x14ac:dyDescent="0.3">
      <c r="B59" s="6"/>
      <c r="C59" s="135" t="str">
        <f>"High Season "&amp;'Tariffs Inputs'!C38&amp;" "&amp;'Tariffs Inputs'!D38&amp;" comparison"</f>
        <v>High Season F TOU Tariff 6 comparison</v>
      </c>
      <c r="D59" s="6"/>
      <c r="E59" s="6"/>
      <c r="F59" s="237"/>
      <c r="G59" s="237"/>
      <c r="H59" s="136">
        <v>0.3</v>
      </c>
      <c r="I59" s="132">
        <v>0.3</v>
      </c>
      <c r="J59" s="137">
        <f>100%-(H59+I59)</f>
        <v>0.4</v>
      </c>
      <c r="K59" s="6"/>
      <c r="L59" s="6"/>
      <c r="M59" s="6"/>
      <c r="N59" s="6"/>
      <c r="O59" s="6"/>
      <c r="P59" s="6"/>
    </row>
    <row r="60" spans="1:16" ht="43.2" x14ac:dyDescent="0.3">
      <c r="B60" s="63" t="s">
        <v>3</v>
      </c>
      <c r="C60" s="144" t="str">
        <f>C3</f>
        <v>Year 1 High Season</v>
      </c>
      <c r="D60" s="145"/>
      <c r="E60" s="145"/>
      <c r="F60" s="145"/>
      <c r="G60" s="145"/>
      <c r="H60" s="146"/>
      <c r="I60" s="144" t="str">
        <f>I3</f>
        <v>Year 2 High Season</v>
      </c>
      <c r="J60" s="145"/>
      <c r="K60" s="145"/>
      <c r="L60" s="145"/>
      <c r="M60" s="145"/>
      <c r="N60" s="146"/>
      <c r="O60" s="148" t="s">
        <v>9</v>
      </c>
      <c r="P60" s="151" t="s">
        <v>10</v>
      </c>
    </row>
    <row r="61" spans="1:16" ht="43.2" x14ac:dyDescent="0.3">
      <c r="B61" s="69" t="s">
        <v>1</v>
      </c>
      <c r="C61" s="53" t="s">
        <v>6</v>
      </c>
      <c r="D61" s="65" t="s">
        <v>25</v>
      </c>
      <c r="E61" s="53" t="s">
        <v>106</v>
      </c>
      <c r="F61" s="53" t="s">
        <v>107</v>
      </c>
      <c r="G61" s="53" t="s">
        <v>108</v>
      </c>
      <c r="H61" s="53" t="s">
        <v>2</v>
      </c>
      <c r="I61" s="53" t="s">
        <v>6</v>
      </c>
      <c r="J61" s="65" t="s">
        <v>25</v>
      </c>
      <c r="K61" s="53" t="s">
        <v>106</v>
      </c>
      <c r="L61" s="53" t="s">
        <v>107</v>
      </c>
      <c r="M61" s="53" t="s">
        <v>108</v>
      </c>
      <c r="N61" s="65" t="s">
        <v>2</v>
      </c>
      <c r="O61" s="238"/>
      <c r="P61" s="150"/>
    </row>
    <row r="62" spans="1:16" x14ac:dyDescent="0.3">
      <c r="B62" s="71">
        <v>5000</v>
      </c>
      <c r="C62" s="9">
        <f>'Tariffs Inputs'!$J$38</f>
        <v>1136.6957947461997</v>
      </c>
      <c r="D62" s="24">
        <f>'Tariffs Inputs'!$K$38*'Tariffs Inputs'!$AB$38</f>
        <v>890</v>
      </c>
      <c r="E62" s="9">
        <f>B62*$H$59*'Tariffs Inputs'!$L$38</f>
        <v>7500</v>
      </c>
      <c r="F62" s="9">
        <f>B62*$I$59*'Tariffs Inputs'!$M$38</f>
        <v>1800</v>
      </c>
      <c r="G62" s="9">
        <f>B62*$J$59*'Tariffs Inputs'!$N$38</f>
        <v>2000</v>
      </c>
      <c r="H62" s="51">
        <f>SUM(C62:G62)</f>
        <v>13326.6957947462</v>
      </c>
      <c r="I62" s="11">
        <f>'Tariffs Inputs'!$T$38</f>
        <v>1350</v>
      </c>
      <c r="J62" s="30">
        <f>'Tariffs Inputs'!$U$38*'Tariffs Inputs'!$AB$38</f>
        <v>1250</v>
      </c>
      <c r="K62" s="11">
        <f>B62*$H$59*'Tariffs Inputs'!$V$38</f>
        <v>8700</v>
      </c>
      <c r="L62" s="11">
        <f>B62*$I$59*'Tariffs Inputs'!$W$38</f>
        <v>2550</v>
      </c>
      <c r="M62" s="11">
        <f>B62*$J$59*'Tariffs Inputs'!$X$38</f>
        <v>2400</v>
      </c>
      <c r="N62" s="28">
        <f>SUM(I62:M62)</f>
        <v>16250</v>
      </c>
      <c r="O62" s="75">
        <f>+N62-H62</f>
        <v>2923.3042052538003</v>
      </c>
      <c r="P62" s="76">
        <f>+O62/H62</f>
        <v>0.21935701469273863</v>
      </c>
    </row>
    <row r="63" spans="1:16" x14ac:dyDescent="0.3">
      <c r="B63" s="72">
        <v>8000</v>
      </c>
      <c r="C63" s="9">
        <f>'Tariffs Inputs'!$J$38</f>
        <v>1136.6957947461997</v>
      </c>
      <c r="D63" s="24">
        <f>'Tariffs Inputs'!$K$38*'Tariffs Inputs'!$AB$38</f>
        <v>890</v>
      </c>
      <c r="E63" s="9">
        <f>B63*$H$59*'Tariffs Inputs'!$L$38</f>
        <v>12000</v>
      </c>
      <c r="F63" s="9">
        <f>B63*$I$59*'Tariffs Inputs'!$M$38</f>
        <v>2880</v>
      </c>
      <c r="G63" s="9">
        <f>B63*$J$59*'Tariffs Inputs'!$N$38</f>
        <v>3200</v>
      </c>
      <c r="H63" s="51">
        <f t="shared" ref="H63:H68" si="12">SUM(C63:G63)</f>
        <v>20106.6957947462</v>
      </c>
      <c r="I63" s="11">
        <f>'Tariffs Inputs'!$T$38</f>
        <v>1350</v>
      </c>
      <c r="J63" s="30">
        <f>'Tariffs Inputs'!$U$38*'Tariffs Inputs'!$AB$38</f>
        <v>1250</v>
      </c>
      <c r="K63" s="11">
        <f>B63*$H$59*'Tariffs Inputs'!$V$38</f>
        <v>13920</v>
      </c>
      <c r="L63" s="11">
        <f>B63*$I$59*'Tariffs Inputs'!$W$38</f>
        <v>4080</v>
      </c>
      <c r="M63" s="11">
        <f>B63*$J$59*'Tariffs Inputs'!$X$38</f>
        <v>3840</v>
      </c>
      <c r="N63" s="28">
        <f t="shared" ref="N63:N68" si="13">SUM(I63:M63)</f>
        <v>24440</v>
      </c>
      <c r="O63" s="77">
        <f>+N63-H63</f>
        <v>4333.3042052538003</v>
      </c>
      <c r="P63" s="79">
        <f>+O63/H63</f>
        <v>0.21551548048914509</v>
      </c>
    </row>
    <row r="64" spans="1:16" x14ac:dyDescent="0.3">
      <c r="B64" s="71">
        <v>10000</v>
      </c>
      <c r="C64" s="9">
        <f>'Tariffs Inputs'!$J$38</f>
        <v>1136.6957947461997</v>
      </c>
      <c r="D64" s="24">
        <f>'Tariffs Inputs'!$K$38*'Tariffs Inputs'!$AB$38</f>
        <v>890</v>
      </c>
      <c r="E64" s="9">
        <f>B64*$H$59*'Tariffs Inputs'!$L$38</f>
        <v>15000</v>
      </c>
      <c r="F64" s="9">
        <f>B64*$I$59*'Tariffs Inputs'!$M$38</f>
        <v>3600</v>
      </c>
      <c r="G64" s="9">
        <f>B64*$J$59*'Tariffs Inputs'!$N$38</f>
        <v>4000</v>
      </c>
      <c r="H64" s="51">
        <f t="shared" si="12"/>
        <v>24626.6957947462</v>
      </c>
      <c r="I64" s="11">
        <f>'Tariffs Inputs'!$T$38</f>
        <v>1350</v>
      </c>
      <c r="J64" s="30">
        <f>'Tariffs Inputs'!$U$38*'Tariffs Inputs'!$AB$38</f>
        <v>1250</v>
      </c>
      <c r="K64" s="11">
        <f>B64*$H$59*'Tariffs Inputs'!$V$38</f>
        <v>17400</v>
      </c>
      <c r="L64" s="11">
        <f>B64*$I$59*'Tariffs Inputs'!$W$38</f>
        <v>5100</v>
      </c>
      <c r="M64" s="11">
        <f>B64*$J$59*'Tariffs Inputs'!$X$38</f>
        <v>4800</v>
      </c>
      <c r="N64" s="28">
        <f t="shared" si="13"/>
        <v>29900</v>
      </c>
      <c r="O64" s="75">
        <f>+N64-H64</f>
        <v>5273.3042052538003</v>
      </c>
      <c r="P64" s="76">
        <f>+O64/H64</f>
        <v>0.21412958722537168</v>
      </c>
    </row>
    <row r="65" spans="2:16" x14ac:dyDescent="0.3">
      <c r="B65" s="72">
        <v>15000</v>
      </c>
      <c r="C65" s="9">
        <f>'Tariffs Inputs'!$J$38</f>
        <v>1136.6957947461997</v>
      </c>
      <c r="D65" s="24">
        <f>'Tariffs Inputs'!$K$38*'Tariffs Inputs'!$AB$38</f>
        <v>890</v>
      </c>
      <c r="E65" s="9">
        <f>B65*$H$59*'Tariffs Inputs'!$L$38</f>
        <v>22500</v>
      </c>
      <c r="F65" s="9">
        <f>B65*$I$59*'Tariffs Inputs'!$M$38</f>
        <v>5400</v>
      </c>
      <c r="G65" s="9">
        <f>B65*$J$59*'Tariffs Inputs'!$N$38</f>
        <v>6000</v>
      </c>
      <c r="H65" s="51">
        <f t="shared" si="12"/>
        <v>35926.6957947462</v>
      </c>
      <c r="I65" s="11">
        <f>'Tariffs Inputs'!$T$38</f>
        <v>1350</v>
      </c>
      <c r="J65" s="30">
        <f>'Tariffs Inputs'!$U$38*'Tariffs Inputs'!$AB$38</f>
        <v>1250</v>
      </c>
      <c r="K65" s="11">
        <f>B65*$H$59*'Tariffs Inputs'!$V$38</f>
        <v>26100</v>
      </c>
      <c r="L65" s="11">
        <f>B65*$I$59*'Tariffs Inputs'!$W$38</f>
        <v>7650</v>
      </c>
      <c r="M65" s="11">
        <f>B65*$J$59*'Tariffs Inputs'!$X$38</f>
        <v>7200</v>
      </c>
      <c r="N65" s="28">
        <f t="shared" si="13"/>
        <v>43550</v>
      </c>
      <c r="O65" s="75">
        <f t="shared" ref="O65:O66" si="14">+N65-H65</f>
        <v>7623.3042052538003</v>
      </c>
      <c r="P65" s="76">
        <f t="shared" ref="P65:P66" si="15">+O65/H65</f>
        <v>0.21219051840466238</v>
      </c>
    </row>
    <row r="66" spans="2:16" x14ac:dyDescent="0.3">
      <c r="B66" s="73">
        <v>20000</v>
      </c>
      <c r="C66" s="9">
        <f>'Tariffs Inputs'!$J$38</f>
        <v>1136.6957947461997</v>
      </c>
      <c r="D66" s="24">
        <f>'Tariffs Inputs'!$K$38*'Tariffs Inputs'!$AB$38</f>
        <v>890</v>
      </c>
      <c r="E66" s="9">
        <f>B66*$H$59*'Tariffs Inputs'!$L$38</f>
        <v>30000</v>
      </c>
      <c r="F66" s="9">
        <f>B66*$I$59*'Tariffs Inputs'!$M$38</f>
        <v>7200</v>
      </c>
      <c r="G66" s="9">
        <f>B66*$J$59*'Tariffs Inputs'!$N$38</f>
        <v>8000</v>
      </c>
      <c r="H66" s="51">
        <f t="shared" si="12"/>
        <v>47226.6957947462</v>
      </c>
      <c r="I66" s="11">
        <f>'Tariffs Inputs'!$T$38</f>
        <v>1350</v>
      </c>
      <c r="J66" s="30">
        <f>'Tariffs Inputs'!$U$38*'Tariffs Inputs'!$AB$38</f>
        <v>1250</v>
      </c>
      <c r="K66" s="11">
        <f>B66*$H$59*'Tariffs Inputs'!$V$38</f>
        <v>34800</v>
      </c>
      <c r="L66" s="11">
        <f>B66*$I$59*'Tariffs Inputs'!$W$38</f>
        <v>10200</v>
      </c>
      <c r="M66" s="11">
        <f>B66*$J$59*'Tariffs Inputs'!$X$38</f>
        <v>9600</v>
      </c>
      <c r="N66" s="28">
        <f t="shared" si="13"/>
        <v>57200</v>
      </c>
      <c r="O66" s="75">
        <f t="shared" si="14"/>
        <v>9973.3042052538003</v>
      </c>
      <c r="P66" s="76">
        <f t="shared" si="15"/>
        <v>0.21117937720223262</v>
      </c>
    </row>
    <row r="67" spans="2:16" x14ac:dyDescent="0.3">
      <c r="B67" s="73">
        <v>25000</v>
      </c>
      <c r="C67" s="9">
        <f>'Tariffs Inputs'!$J$38</f>
        <v>1136.6957947461997</v>
      </c>
      <c r="D67" s="24">
        <f>'Tariffs Inputs'!$K$38*'Tariffs Inputs'!$AB$38</f>
        <v>890</v>
      </c>
      <c r="E67" s="9">
        <f>B67*$H$59*'Tariffs Inputs'!$L$38</f>
        <v>37500</v>
      </c>
      <c r="F67" s="9">
        <f>B67*$I$59*'Tariffs Inputs'!$M$38</f>
        <v>9000</v>
      </c>
      <c r="G67" s="9">
        <f>B67*$J$59*'Tariffs Inputs'!$N$38</f>
        <v>10000</v>
      </c>
      <c r="H67" s="51">
        <f t="shared" si="12"/>
        <v>58526.6957947462</v>
      </c>
      <c r="I67" s="11">
        <f>'Tariffs Inputs'!$T$38</f>
        <v>1350</v>
      </c>
      <c r="J67" s="30">
        <f>'Tariffs Inputs'!$U$38*'Tariffs Inputs'!$AB$38</f>
        <v>1250</v>
      </c>
      <c r="K67" s="11">
        <f>B67*$H$59*'Tariffs Inputs'!$V$38</f>
        <v>43500</v>
      </c>
      <c r="L67" s="11">
        <f>B67*$I$59*'Tariffs Inputs'!$W$38</f>
        <v>12750</v>
      </c>
      <c r="M67" s="11">
        <f>B67*$J$59*'Tariffs Inputs'!$X$38</f>
        <v>12000</v>
      </c>
      <c r="N67" s="28">
        <f t="shared" si="13"/>
        <v>70850</v>
      </c>
      <c r="O67" s="139">
        <f>+N67-H67</f>
        <v>12323.3042052538</v>
      </c>
      <c r="P67" s="83">
        <f>+O67/H67</f>
        <v>0.21055868673112474</v>
      </c>
    </row>
    <row r="68" spans="2:16" x14ac:dyDescent="0.3">
      <c r="B68" s="124">
        <v>30000</v>
      </c>
      <c r="C68" s="9">
        <f>'Tariffs Inputs'!$J$38</f>
        <v>1136.6957947461997</v>
      </c>
      <c r="D68" s="24">
        <f>'Tariffs Inputs'!$K$38*'Tariffs Inputs'!$AB$38</f>
        <v>890</v>
      </c>
      <c r="E68" s="9">
        <f>B68*$H$59*'Tariffs Inputs'!$L$38</f>
        <v>45000</v>
      </c>
      <c r="F68" s="9">
        <f>B68*$I$59*'Tariffs Inputs'!$M$38</f>
        <v>10800</v>
      </c>
      <c r="G68" s="9">
        <f>B68*$J$59*'Tariffs Inputs'!$N$38</f>
        <v>12000</v>
      </c>
      <c r="H68" s="51">
        <f t="shared" si="12"/>
        <v>69826.695794746192</v>
      </c>
      <c r="I68" s="11">
        <f>'Tariffs Inputs'!$T$38</f>
        <v>1350</v>
      </c>
      <c r="J68" s="30">
        <f>'Tariffs Inputs'!$U$38*'Tariffs Inputs'!$AB$38</f>
        <v>1250</v>
      </c>
      <c r="K68" s="11">
        <f>B68*$H$59*'Tariffs Inputs'!$V$38</f>
        <v>52200</v>
      </c>
      <c r="L68" s="11">
        <f>B68*$I$59*'Tariffs Inputs'!$W$38</f>
        <v>15300</v>
      </c>
      <c r="M68" s="11">
        <f>B68*$J$59*'Tariffs Inputs'!$X$38</f>
        <v>14400</v>
      </c>
      <c r="N68" s="28">
        <f t="shared" si="13"/>
        <v>84500</v>
      </c>
      <c r="O68" s="75">
        <f>+N68-H68</f>
        <v>14673.304205253808</v>
      </c>
      <c r="P68" s="76">
        <f>+O68/H68</f>
        <v>0.21013888797467395</v>
      </c>
    </row>
    <row r="69" spans="2:16" x14ac:dyDescent="0.3">
      <c r="B69" s="1"/>
      <c r="C69" s="2"/>
      <c r="D69" s="2"/>
      <c r="E69" s="2"/>
      <c r="F69" s="2"/>
      <c r="G69" s="2"/>
      <c r="H69" s="2"/>
      <c r="I69" s="2"/>
      <c r="J69" s="2"/>
      <c r="K69" s="3"/>
      <c r="L69" s="4"/>
      <c r="M69" s="4"/>
      <c r="N69" s="4"/>
      <c r="O69" s="4"/>
      <c r="P69" s="67"/>
    </row>
    <row r="71" spans="2:16" ht="14.4" customHeight="1" x14ac:dyDescent="0.3">
      <c r="C71" s="133"/>
      <c r="D71" s="134"/>
      <c r="E71" s="134"/>
      <c r="F71" s="236" t="s">
        <v>110</v>
      </c>
      <c r="G71" s="236"/>
      <c r="H71" s="52" t="s">
        <v>37</v>
      </c>
      <c r="I71" s="52" t="s">
        <v>38</v>
      </c>
      <c r="J71" s="49" t="s">
        <v>109</v>
      </c>
    </row>
    <row r="72" spans="2:16" x14ac:dyDescent="0.3">
      <c r="B72" s="6"/>
      <c r="C72" s="135" t="str">
        <f>"High Season "&amp;'Tariffs Inputs'!C39&amp;" "&amp;'Tariffs Inputs'!D39&amp;" comparison"</f>
        <v>High Season G TOU Tariff 7 comparison</v>
      </c>
      <c r="D72" s="6"/>
      <c r="E72" s="6"/>
      <c r="F72" s="237"/>
      <c r="G72" s="237"/>
      <c r="H72" s="136">
        <v>0.2</v>
      </c>
      <c r="I72" s="132">
        <v>0.3</v>
      </c>
      <c r="J72" s="137">
        <f>100%-(H72+I72)</f>
        <v>0.5</v>
      </c>
      <c r="K72" s="6"/>
      <c r="L72" s="6"/>
      <c r="M72" s="6"/>
      <c r="N72" s="6"/>
      <c r="O72" s="6"/>
      <c r="P72" s="6"/>
    </row>
    <row r="73" spans="2:16" ht="43.2" x14ac:dyDescent="0.3">
      <c r="B73" s="63" t="s">
        <v>3</v>
      </c>
      <c r="C73" s="144" t="str">
        <f>C3</f>
        <v>Year 1 High Season</v>
      </c>
      <c r="D73" s="145"/>
      <c r="E73" s="145"/>
      <c r="F73" s="145"/>
      <c r="G73" s="145"/>
      <c r="H73" s="146"/>
      <c r="I73" s="144" t="str">
        <f>I3</f>
        <v>Year 2 High Season</v>
      </c>
      <c r="J73" s="145"/>
      <c r="K73" s="145"/>
      <c r="L73" s="145"/>
      <c r="M73" s="145"/>
      <c r="N73" s="146"/>
      <c r="O73" s="148" t="s">
        <v>9</v>
      </c>
      <c r="P73" s="151" t="s">
        <v>10</v>
      </c>
    </row>
    <row r="74" spans="2:16" ht="43.2" x14ac:dyDescent="0.3">
      <c r="B74" s="69" t="s">
        <v>1</v>
      </c>
      <c r="C74" s="53" t="s">
        <v>6</v>
      </c>
      <c r="D74" s="65" t="s">
        <v>25</v>
      </c>
      <c r="E74" s="53" t="s">
        <v>106</v>
      </c>
      <c r="F74" s="53" t="s">
        <v>107</v>
      </c>
      <c r="G74" s="53" t="s">
        <v>108</v>
      </c>
      <c r="H74" s="53" t="s">
        <v>2</v>
      </c>
      <c r="I74" s="53" t="s">
        <v>6</v>
      </c>
      <c r="J74" s="65" t="s">
        <v>25</v>
      </c>
      <c r="K74" s="53" t="s">
        <v>106</v>
      </c>
      <c r="L74" s="53" t="s">
        <v>107</v>
      </c>
      <c r="M74" s="53" t="s">
        <v>108</v>
      </c>
      <c r="N74" s="65" t="s">
        <v>2</v>
      </c>
      <c r="O74" s="238"/>
      <c r="P74" s="150"/>
    </row>
    <row r="75" spans="2:16" x14ac:dyDescent="0.3">
      <c r="B75" s="71">
        <v>5000</v>
      </c>
      <c r="C75" s="9">
        <f>'Tariffs Inputs'!$J$39</f>
        <v>1300</v>
      </c>
      <c r="D75" s="24">
        <f>'Tariffs Inputs'!$K$39*'Tariffs Inputs'!$AB$39</f>
        <v>536</v>
      </c>
      <c r="E75" s="9">
        <f>B75*$H$72*'Tariffs Inputs'!$L$39</f>
        <v>5000</v>
      </c>
      <c r="F75" s="9">
        <f>B75*$I$72*'Tariffs Inputs'!$M$39</f>
        <v>1800</v>
      </c>
      <c r="G75" s="9">
        <f>B75*$J$72*'Tariffs Inputs'!$N$39</f>
        <v>2500</v>
      </c>
      <c r="H75" s="51">
        <f>SUM(C75:G75)</f>
        <v>11136</v>
      </c>
      <c r="I75" s="11">
        <f>'Tariffs Inputs'!$T$39</f>
        <v>2324.1509123283927</v>
      </c>
      <c r="J75" s="30">
        <f>'Tariffs Inputs'!$U$39*'Tariffs Inputs'!$AB$39</f>
        <v>1000</v>
      </c>
      <c r="K75" s="11">
        <f>B75*$H$72*'Tariffs Inputs'!$V$39</f>
        <v>5700</v>
      </c>
      <c r="L75" s="11">
        <f>B75*$I$72*'Tariffs Inputs'!$W$39</f>
        <v>2025.0000000000002</v>
      </c>
      <c r="M75" s="11">
        <f>B75*$J$72*'Tariffs Inputs'!$X$39</f>
        <v>3500</v>
      </c>
      <c r="N75" s="28">
        <f>SUM(I75:M75)</f>
        <v>14549.150912328392</v>
      </c>
      <c r="O75" s="75">
        <f>+N75-H75</f>
        <v>3413.1509123283922</v>
      </c>
      <c r="P75" s="76">
        <f>+O75/H75</f>
        <v>0.30649702876512142</v>
      </c>
    </row>
    <row r="76" spans="2:16" x14ac:dyDescent="0.3">
      <c r="B76" s="72">
        <v>8000</v>
      </c>
      <c r="C76" s="9">
        <f>'Tariffs Inputs'!$J$39</f>
        <v>1300</v>
      </c>
      <c r="D76" s="24">
        <f>'Tariffs Inputs'!$K$39*'Tariffs Inputs'!$AB$39</f>
        <v>536</v>
      </c>
      <c r="E76" s="9">
        <f>B76*$H$72*'Tariffs Inputs'!$L$39</f>
        <v>8000</v>
      </c>
      <c r="F76" s="9">
        <f>B76*$I$72*'Tariffs Inputs'!$M$39</f>
        <v>2880</v>
      </c>
      <c r="G76" s="9">
        <f>B76*$J$72*'Tariffs Inputs'!$N$39</f>
        <v>4000</v>
      </c>
      <c r="H76" s="51">
        <f t="shared" ref="H76:H81" si="16">SUM(C76:G76)</f>
        <v>16716</v>
      </c>
      <c r="I76" s="11">
        <f>'Tariffs Inputs'!$T$39</f>
        <v>2324.1509123283927</v>
      </c>
      <c r="J76" s="30">
        <f>'Tariffs Inputs'!$U$39*'Tariffs Inputs'!$AB$39</f>
        <v>1000</v>
      </c>
      <c r="K76" s="11">
        <f>B76*$H$72*'Tariffs Inputs'!$V$39</f>
        <v>9120</v>
      </c>
      <c r="L76" s="11">
        <f>B76*$I$72*'Tariffs Inputs'!$W$39</f>
        <v>3240</v>
      </c>
      <c r="M76" s="11">
        <f>B76*$J$72*'Tariffs Inputs'!$X$39</f>
        <v>5600</v>
      </c>
      <c r="N76" s="28">
        <f t="shared" ref="N76:N81" si="17">SUM(I76:M76)</f>
        <v>21284.15091232839</v>
      </c>
      <c r="O76" s="77">
        <f>+N76-H76</f>
        <v>4568.1509123283904</v>
      </c>
      <c r="P76" s="79">
        <f>+O76/H76</f>
        <v>0.27328014550899682</v>
      </c>
    </row>
    <row r="77" spans="2:16" x14ac:dyDescent="0.3">
      <c r="B77" s="71">
        <v>10000</v>
      </c>
      <c r="C77" s="9">
        <f>'Tariffs Inputs'!$J$39</f>
        <v>1300</v>
      </c>
      <c r="D77" s="24">
        <f>'Tariffs Inputs'!$K$39*'Tariffs Inputs'!$AB$39</f>
        <v>536</v>
      </c>
      <c r="E77" s="9">
        <f>B77*$H$72*'Tariffs Inputs'!$L$39</f>
        <v>10000</v>
      </c>
      <c r="F77" s="9">
        <f>B77*$I$72*'Tariffs Inputs'!$M$39</f>
        <v>3600</v>
      </c>
      <c r="G77" s="9">
        <f>B77*$J$72*'Tariffs Inputs'!$N$39</f>
        <v>5000</v>
      </c>
      <c r="H77" s="51">
        <f t="shared" si="16"/>
        <v>20436</v>
      </c>
      <c r="I77" s="11">
        <f>'Tariffs Inputs'!$T$39</f>
        <v>2324.1509123283927</v>
      </c>
      <c r="J77" s="30">
        <f>'Tariffs Inputs'!$U$39*'Tariffs Inputs'!$AB$39</f>
        <v>1000</v>
      </c>
      <c r="K77" s="11">
        <f>B77*$H$72*'Tariffs Inputs'!$V$39</f>
        <v>11400</v>
      </c>
      <c r="L77" s="11">
        <f>B77*$I$72*'Tariffs Inputs'!$W$39</f>
        <v>4050.0000000000005</v>
      </c>
      <c r="M77" s="11">
        <f>B77*$J$72*'Tariffs Inputs'!$X$39</f>
        <v>7000</v>
      </c>
      <c r="N77" s="28">
        <f t="shared" si="17"/>
        <v>25774.150912328394</v>
      </c>
      <c r="O77" s="75">
        <f>+N77-H77</f>
        <v>5338.150912328394</v>
      </c>
      <c r="P77" s="76">
        <f>+O77/H77</f>
        <v>0.26121310003564269</v>
      </c>
    </row>
    <row r="78" spans="2:16" x14ac:dyDescent="0.3">
      <c r="B78" s="72">
        <v>15000</v>
      </c>
      <c r="C78" s="9">
        <f>'Tariffs Inputs'!$J$39</f>
        <v>1300</v>
      </c>
      <c r="D78" s="24">
        <f>'Tariffs Inputs'!$K$39*'Tariffs Inputs'!$AB$39</f>
        <v>536</v>
      </c>
      <c r="E78" s="9">
        <f>B78*$H$72*'Tariffs Inputs'!$L$39</f>
        <v>15000</v>
      </c>
      <c r="F78" s="9">
        <f>B78*$I$72*'Tariffs Inputs'!$M$39</f>
        <v>5400</v>
      </c>
      <c r="G78" s="9">
        <f>B78*$J$72*'Tariffs Inputs'!$N$39</f>
        <v>7500</v>
      </c>
      <c r="H78" s="51">
        <f t="shared" si="16"/>
        <v>29736</v>
      </c>
      <c r="I78" s="11">
        <f>'Tariffs Inputs'!$T$39</f>
        <v>2324.1509123283927</v>
      </c>
      <c r="J78" s="30">
        <f>'Tariffs Inputs'!$U$39*'Tariffs Inputs'!$AB$39</f>
        <v>1000</v>
      </c>
      <c r="K78" s="11">
        <f>B78*$H$72*'Tariffs Inputs'!$V$39</f>
        <v>17100</v>
      </c>
      <c r="L78" s="11">
        <f>B78*$I$72*'Tariffs Inputs'!$W$39</f>
        <v>6075</v>
      </c>
      <c r="M78" s="11">
        <f>B78*$J$72*'Tariffs Inputs'!$X$39</f>
        <v>10500</v>
      </c>
      <c r="N78" s="28">
        <f t="shared" si="17"/>
        <v>36999.15091232839</v>
      </c>
      <c r="O78" s="75">
        <f t="shared" ref="O78:O79" si="18">+N78-H78</f>
        <v>7263.1509123283904</v>
      </c>
      <c r="P78" s="76">
        <f t="shared" ref="P78:P79" si="19">+O78/H78</f>
        <v>0.24425446974469969</v>
      </c>
    </row>
    <row r="79" spans="2:16" x14ac:dyDescent="0.3">
      <c r="B79" s="73">
        <v>20000</v>
      </c>
      <c r="C79" s="9">
        <f>'Tariffs Inputs'!$J$39</f>
        <v>1300</v>
      </c>
      <c r="D79" s="24">
        <f>'Tariffs Inputs'!$K$39*'Tariffs Inputs'!$AB$39</f>
        <v>536</v>
      </c>
      <c r="E79" s="9">
        <f>B79*$H$72*'Tariffs Inputs'!$L$39</f>
        <v>20000</v>
      </c>
      <c r="F79" s="9">
        <f>B79*$I$72*'Tariffs Inputs'!$M$39</f>
        <v>7200</v>
      </c>
      <c r="G79" s="9">
        <f>B79*$J$72*'Tariffs Inputs'!$N$39</f>
        <v>10000</v>
      </c>
      <c r="H79" s="51">
        <f t="shared" si="16"/>
        <v>39036</v>
      </c>
      <c r="I79" s="11">
        <f>'Tariffs Inputs'!$T$39</f>
        <v>2324.1509123283927</v>
      </c>
      <c r="J79" s="30">
        <f>'Tariffs Inputs'!$U$39*'Tariffs Inputs'!$AB$39</f>
        <v>1000</v>
      </c>
      <c r="K79" s="11">
        <f>B79*$H$72*'Tariffs Inputs'!$V$39</f>
        <v>22800</v>
      </c>
      <c r="L79" s="11">
        <f>B79*$I$72*'Tariffs Inputs'!$W$39</f>
        <v>8100.0000000000009</v>
      </c>
      <c r="M79" s="11">
        <f>B79*$J$72*'Tariffs Inputs'!$X$39</f>
        <v>14000</v>
      </c>
      <c r="N79" s="28">
        <f t="shared" si="17"/>
        <v>48224.150912328398</v>
      </c>
      <c r="O79" s="75">
        <f t="shared" si="18"/>
        <v>9188.1509123283977</v>
      </c>
      <c r="P79" s="76">
        <f t="shared" si="19"/>
        <v>0.23537634266647192</v>
      </c>
    </row>
    <row r="80" spans="2:16" x14ac:dyDescent="0.3">
      <c r="B80" s="73">
        <v>25000</v>
      </c>
      <c r="C80" s="9">
        <f>'Tariffs Inputs'!$J$39</f>
        <v>1300</v>
      </c>
      <c r="D80" s="24">
        <f>'Tariffs Inputs'!$K$39*'Tariffs Inputs'!$AB$39</f>
        <v>536</v>
      </c>
      <c r="E80" s="9">
        <f>B80*$H$72*'Tariffs Inputs'!$L$39</f>
        <v>25000</v>
      </c>
      <c r="F80" s="9">
        <f>B80*$I$72*'Tariffs Inputs'!$M$39</f>
        <v>9000</v>
      </c>
      <c r="G80" s="9">
        <f>B80*$J$72*'Tariffs Inputs'!$N$39</f>
        <v>12500</v>
      </c>
      <c r="H80" s="51">
        <f t="shared" si="16"/>
        <v>48336</v>
      </c>
      <c r="I80" s="11">
        <f>'Tariffs Inputs'!$T$39</f>
        <v>2324.1509123283927</v>
      </c>
      <c r="J80" s="30">
        <f>'Tariffs Inputs'!$U$39*'Tariffs Inputs'!$AB$39</f>
        <v>1000</v>
      </c>
      <c r="K80" s="11">
        <f>B80*$H$72*'Tariffs Inputs'!$V$39</f>
        <v>28500</v>
      </c>
      <c r="L80" s="11">
        <f>B80*$I$72*'Tariffs Inputs'!$W$39</f>
        <v>10125</v>
      </c>
      <c r="M80" s="11">
        <f>B80*$J$72*'Tariffs Inputs'!$X$39</f>
        <v>17500</v>
      </c>
      <c r="N80" s="28">
        <f t="shared" si="17"/>
        <v>59449.15091232839</v>
      </c>
      <c r="O80" s="139">
        <f>+N80-H80</f>
        <v>11113.15091232839</v>
      </c>
      <c r="P80" s="83">
        <f>+O80/H80</f>
        <v>0.22991457531298393</v>
      </c>
    </row>
    <row r="81" spans="2:16" x14ac:dyDescent="0.3">
      <c r="B81" s="124">
        <v>30000</v>
      </c>
      <c r="C81" s="9">
        <f>'Tariffs Inputs'!$J$39</f>
        <v>1300</v>
      </c>
      <c r="D81" s="24">
        <f>'Tariffs Inputs'!$K$39*'Tariffs Inputs'!$AB$39</f>
        <v>536</v>
      </c>
      <c r="E81" s="9">
        <f>B81*$H$72*'Tariffs Inputs'!$L$39</f>
        <v>30000</v>
      </c>
      <c r="F81" s="9">
        <f>B81*$I$72*'Tariffs Inputs'!$M$39</f>
        <v>10800</v>
      </c>
      <c r="G81" s="9">
        <f>B81*$J$72*'Tariffs Inputs'!$N$39</f>
        <v>15000</v>
      </c>
      <c r="H81" s="51">
        <f t="shared" si="16"/>
        <v>57636</v>
      </c>
      <c r="I81" s="11">
        <f>'Tariffs Inputs'!$T$39</f>
        <v>2324.1509123283927</v>
      </c>
      <c r="J81" s="30">
        <f>'Tariffs Inputs'!$U$39*'Tariffs Inputs'!$AB$39</f>
        <v>1000</v>
      </c>
      <c r="K81" s="11">
        <f>B81*$H$72*'Tariffs Inputs'!$V$39</f>
        <v>34200</v>
      </c>
      <c r="L81" s="11">
        <f>B81*$I$72*'Tariffs Inputs'!$W$39</f>
        <v>12150</v>
      </c>
      <c r="M81" s="11">
        <f>B81*$J$72*'Tariffs Inputs'!$X$39</f>
        <v>21000</v>
      </c>
      <c r="N81" s="28">
        <f t="shared" si="17"/>
        <v>70674.15091232839</v>
      </c>
      <c r="O81" s="75">
        <f>+N81-H81</f>
        <v>13038.15091232839</v>
      </c>
      <c r="P81" s="76">
        <f>+O81/H81</f>
        <v>0.22621540204608909</v>
      </c>
    </row>
    <row r="82" spans="2:16" x14ac:dyDescent="0.3">
      <c r="B82" s="1"/>
      <c r="C82" s="2"/>
      <c r="D82" s="2"/>
      <c r="E82" s="2"/>
      <c r="F82" s="2"/>
      <c r="G82" s="2"/>
      <c r="H82" s="2"/>
      <c r="I82" s="2"/>
      <c r="J82" s="2"/>
      <c r="K82" s="3"/>
      <c r="L82" s="4"/>
      <c r="M82" s="4"/>
      <c r="N82" s="4"/>
      <c r="O82" s="4"/>
      <c r="P82" s="67"/>
    </row>
    <row r="84" spans="2:16" ht="14.4" customHeight="1" x14ac:dyDescent="0.3">
      <c r="C84" s="133"/>
      <c r="D84" s="134"/>
      <c r="E84" s="134"/>
      <c r="F84" s="236" t="s">
        <v>110</v>
      </c>
      <c r="G84" s="236"/>
      <c r="H84" s="52" t="s">
        <v>37</v>
      </c>
      <c r="I84" s="52" t="s">
        <v>38</v>
      </c>
      <c r="J84" s="49" t="s">
        <v>109</v>
      </c>
    </row>
    <row r="85" spans="2:16" x14ac:dyDescent="0.3">
      <c r="B85" s="6"/>
      <c r="C85" s="135" t="str">
        <f>"High Season "&amp;'Tariffs Inputs'!C40&amp;" "&amp;'Tariffs Inputs'!D40&amp;" comparison"</f>
        <v>High Season H TOU Tariff 8 comparison</v>
      </c>
      <c r="D85" s="6"/>
      <c r="E85" s="6"/>
      <c r="F85" s="237"/>
      <c r="G85" s="237"/>
      <c r="H85" s="136">
        <v>0.1</v>
      </c>
      <c r="I85" s="132">
        <v>0.05</v>
      </c>
      <c r="J85" s="137">
        <f>100%-(H85+I85)</f>
        <v>0.85</v>
      </c>
      <c r="K85" s="6"/>
      <c r="L85" s="6"/>
      <c r="M85" s="6"/>
      <c r="N85" s="6"/>
      <c r="O85" s="6"/>
      <c r="P85" s="6"/>
    </row>
    <row r="86" spans="2:16" ht="43.2" x14ac:dyDescent="0.3">
      <c r="B86" s="63" t="s">
        <v>3</v>
      </c>
      <c r="C86" s="144" t="str">
        <f>C3</f>
        <v>Year 1 High Season</v>
      </c>
      <c r="D86" s="145"/>
      <c r="E86" s="145"/>
      <c r="F86" s="145"/>
      <c r="G86" s="145"/>
      <c r="H86" s="146"/>
      <c r="I86" s="144" t="str">
        <f>I3</f>
        <v>Year 2 High Season</v>
      </c>
      <c r="J86" s="145"/>
      <c r="K86" s="145"/>
      <c r="L86" s="145"/>
      <c r="M86" s="145"/>
      <c r="N86" s="146"/>
      <c r="O86" s="148" t="s">
        <v>9</v>
      </c>
      <c r="P86" s="151" t="s">
        <v>10</v>
      </c>
    </row>
    <row r="87" spans="2:16" ht="43.2" x14ac:dyDescent="0.3">
      <c r="B87" s="69" t="s">
        <v>1</v>
      </c>
      <c r="C87" s="53" t="s">
        <v>6</v>
      </c>
      <c r="D87" s="65" t="s">
        <v>25</v>
      </c>
      <c r="E87" s="53" t="s">
        <v>106</v>
      </c>
      <c r="F87" s="53" t="s">
        <v>107</v>
      </c>
      <c r="G87" s="53" t="s">
        <v>108</v>
      </c>
      <c r="H87" s="53" t="s">
        <v>2</v>
      </c>
      <c r="I87" s="53" t="s">
        <v>6</v>
      </c>
      <c r="J87" s="65" t="s">
        <v>25</v>
      </c>
      <c r="K87" s="53" t="s">
        <v>106</v>
      </c>
      <c r="L87" s="53" t="s">
        <v>107</v>
      </c>
      <c r="M87" s="53" t="s">
        <v>108</v>
      </c>
      <c r="N87" s="65" t="s">
        <v>2</v>
      </c>
      <c r="O87" s="238"/>
      <c r="P87" s="150"/>
    </row>
    <row r="88" spans="2:16" x14ac:dyDescent="0.3">
      <c r="B88" s="71">
        <v>5000</v>
      </c>
      <c r="C88" s="9">
        <f>'Tariffs Inputs'!$J$40</f>
        <v>2820</v>
      </c>
      <c r="D88" s="24">
        <f>'Tariffs Inputs'!$K$40*'Tariffs Inputs'!$AB$40</f>
        <v>555</v>
      </c>
      <c r="E88" s="9">
        <f>B88*$H$85*'Tariffs Inputs'!$L$40</f>
        <v>2500</v>
      </c>
      <c r="F88" s="9">
        <f>B88*$I$85*'Tariffs Inputs'!$M$40</f>
        <v>300</v>
      </c>
      <c r="G88" s="9">
        <f>B88*$J$85*'Tariffs Inputs'!$N$40</f>
        <v>4250</v>
      </c>
      <c r="H88" s="51">
        <f>SUM(C88:G88)</f>
        <v>10425</v>
      </c>
      <c r="I88" s="11">
        <f>'Tariffs Inputs'!$T$40</f>
        <v>1300</v>
      </c>
      <c r="J88" s="30">
        <f>'Tariffs Inputs'!$U$40*'Tariffs Inputs'!$AB$40</f>
        <v>750</v>
      </c>
      <c r="K88" s="11">
        <f>B88*$H$85*'Tariffs Inputs'!$V$40</f>
        <v>2550</v>
      </c>
      <c r="L88" s="11">
        <f>B88*$I$85*'Tariffs Inputs'!$W$40</f>
        <v>400</v>
      </c>
      <c r="M88" s="11">
        <f>B88*$J$85*'Tariffs Inputs'!$X$40</f>
        <v>7225</v>
      </c>
      <c r="N88" s="28">
        <f>SUM(I88:M88)</f>
        <v>12225</v>
      </c>
      <c r="O88" s="75">
        <f>+N88-H88</f>
        <v>1800</v>
      </c>
      <c r="P88" s="76">
        <f>+O88/H88</f>
        <v>0.17266187050359713</v>
      </c>
    </row>
    <row r="89" spans="2:16" x14ac:dyDescent="0.3">
      <c r="B89" s="72">
        <v>8000</v>
      </c>
      <c r="C89" s="9">
        <f>'Tariffs Inputs'!$J$40</f>
        <v>2820</v>
      </c>
      <c r="D89" s="24">
        <f>'Tariffs Inputs'!$K$40*'Tariffs Inputs'!$AB$40</f>
        <v>555</v>
      </c>
      <c r="E89" s="9">
        <f>B89*$H$85*'Tariffs Inputs'!$L$40</f>
        <v>4000</v>
      </c>
      <c r="F89" s="9">
        <f>B89*$I$85*'Tariffs Inputs'!$M$40</f>
        <v>480</v>
      </c>
      <c r="G89" s="9">
        <f>B89*$J$85*'Tariffs Inputs'!$N$40</f>
        <v>6800</v>
      </c>
      <c r="H89" s="51">
        <f t="shared" ref="H89:H94" si="20">SUM(C89:G89)</f>
        <v>14655</v>
      </c>
      <c r="I89" s="11">
        <f>'Tariffs Inputs'!$T$40</f>
        <v>1300</v>
      </c>
      <c r="J89" s="30">
        <f>'Tariffs Inputs'!$U$40*'Tariffs Inputs'!$AB$40</f>
        <v>750</v>
      </c>
      <c r="K89" s="11">
        <f>B89*$H$85*'Tariffs Inputs'!$V$40</f>
        <v>4079.9999999999995</v>
      </c>
      <c r="L89" s="11">
        <f>B89*$I$85*'Tariffs Inputs'!$W$40</f>
        <v>640</v>
      </c>
      <c r="M89" s="11">
        <f>B89*$J$85*'Tariffs Inputs'!$X$40</f>
        <v>11560</v>
      </c>
      <c r="N89" s="28">
        <f t="shared" ref="N89:N94" si="21">SUM(I89:M89)</f>
        <v>18330</v>
      </c>
      <c r="O89" s="77">
        <f>+N89-H89</f>
        <v>3675</v>
      </c>
      <c r="P89" s="79">
        <f>+O89/H89</f>
        <v>0.25076765609007162</v>
      </c>
    </row>
    <row r="90" spans="2:16" x14ac:dyDescent="0.3">
      <c r="B90" s="71">
        <v>10000</v>
      </c>
      <c r="C90" s="9">
        <f>'Tariffs Inputs'!$J$40</f>
        <v>2820</v>
      </c>
      <c r="D90" s="24">
        <f>'Tariffs Inputs'!$K$40*'Tariffs Inputs'!$AB$40</f>
        <v>555</v>
      </c>
      <c r="E90" s="9">
        <f>B90*$H$85*'Tariffs Inputs'!$L$40</f>
        <v>5000</v>
      </c>
      <c r="F90" s="9">
        <f>B90*$I$85*'Tariffs Inputs'!$M$40</f>
        <v>600</v>
      </c>
      <c r="G90" s="9">
        <f>B90*$J$85*'Tariffs Inputs'!$N$40</f>
        <v>8500</v>
      </c>
      <c r="H90" s="51">
        <f t="shared" si="20"/>
        <v>17475</v>
      </c>
      <c r="I90" s="11">
        <f>'Tariffs Inputs'!$T$40</f>
        <v>1300</v>
      </c>
      <c r="J90" s="30">
        <f>'Tariffs Inputs'!$U$40*'Tariffs Inputs'!$AB$40</f>
        <v>750</v>
      </c>
      <c r="K90" s="11">
        <f>B90*$H$85*'Tariffs Inputs'!$V$40</f>
        <v>5100</v>
      </c>
      <c r="L90" s="11">
        <f>B90*$I$85*'Tariffs Inputs'!$W$40</f>
        <v>800</v>
      </c>
      <c r="M90" s="11">
        <f>B90*$J$85*'Tariffs Inputs'!$X$40</f>
        <v>14450</v>
      </c>
      <c r="N90" s="28">
        <f t="shared" si="21"/>
        <v>22400</v>
      </c>
      <c r="O90" s="75">
        <f>+N90-H90</f>
        <v>4925</v>
      </c>
      <c r="P90" s="76">
        <f>+O90/H90</f>
        <v>0.28183118741058655</v>
      </c>
    </row>
    <row r="91" spans="2:16" x14ac:dyDescent="0.3">
      <c r="B91" s="72">
        <v>15000</v>
      </c>
      <c r="C91" s="9">
        <f>'Tariffs Inputs'!$J$40</f>
        <v>2820</v>
      </c>
      <c r="D91" s="24">
        <f>'Tariffs Inputs'!$K$40*'Tariffs Inputs'!$AB$40</f>
        <v>555</v>
      </c>
      <c r="E91" s="9">
        <f>B91*$H$85*'Tariffs Inputs'!$L$40</f>
        <v>7500</v>
      </c>
      <c r="F91" s="9">
        <f>B91*$I$85*'Tariffs Inputs'!$M$40</f>
        <v>900</v>
      </c>
      <c r="G91" s="9">
        <f>B91*$J$85*'Tariffs Inputs'!$N$40</f>
        <v>12750</v>
      </c>
      <c r="H91" s="51">
        <f t="shared" si="20"/>
        <v>24525</v>
      </c>
      <c r="I91" s="11">
        <f>'Tariffs Inputs'!$T$40</f>
        <v>1300</v>
      </c>
      <c r="J91" s="30">
        <f>'Tariffs Inputs'!$U$40*'Tariffs Inputs'!$AB$40</f>
        <v>750</v>
      </c>
      <c r="K91" s="11">
        <f>B91*$H$85*'Tariffs Inputs'!$V$40</f>
        <v>7649.9999999999991</v>
      </c>
      <c r="L91" s="11">
        <f>B91*$I$85*'Tariffs Inputs'!$W$40</f>
        <v>1200</v>
      </c>
      <c r="M91" s="11">
        <f>B91*$J$85*'Tariffs Inputs'!$X$40</f>
        <v>21675</v>
      </c>
      <c r="N91" s="28">
        <f t="shared" si="21"/>
        <v>32575</v>
      </c>
      <c r="O91" s="75">
        <f t="shared" ref="O91:O92" si="22">+N91-H91</f>
        <v>8050</v>
      </c>
      <c r="P91" s="76">
        <f t="shared" ref="P91:P92" si="23">+O91/H91</f>
        <v>0.32823649337410804</v>
      </c>
    </row>
    <row r="92" spans="2:16" x14ac:dyDescent="0.3">
      <c r="B92" s="73">
        <v>20000</v>
      </c>
      <c r="C92" s="9">
        <f>'Tariffs Inputs'!$J$40</f>
        <v>2820</v>
      </c>
      <c r="D92" s="24">
        <f>'Tariffs Inputs'!$K$40*'Tariffs Inputs'!$AB$40</f>
        <v>555</v>
      </c>
      <c r="E92" s="9">
        <f>B92*$H$85*'Tariffs Inputs'!$L$40</f>
        <v>10000</v>
      </c>
      <c r="F92" s="9">
        <f>B92*$I$85*'Tariffs Inputs'!$M$40</f>
        <v>1200</v>
      </c>
      <c r="G92" s="9">
        <f>B92*$J$85*'Tariffs Inputs'!$N$40</f>
        <v>17000</v>
      </c>
      <c r="H92" s="51">
        <f t="shared" si="20"/>
        <v>31575</v>
      </c>
      <c r="I92" s="11">
        <f>'Tariffs Inputs'!$T$40</f>
        <v>1300</v>
      </c>
      <c r="J92" s="30">
        <f>'Tariffs Inputs'!$U$40*'Tariffs Inputs'!$AB$40</f>
        <v>750</v>
      </c>
      <c r="K92" s="11">
        <f>B92*$H$85*'Tariffs Inputs'!$V$40</f>
        <v>10200</v>
      </c>
      <c r="L92" s="11">
        <f>B92*$I$85*'Tariffs Inputs'!$W$40</f>
        <v>1600</v>
      </c>
      <c r="M92" s="11">
        <f>B92*$J$85*'Tariffs Inputs'!$X$40</f>
        <v>28900</v>
      </c>
      <c r="N92" s="28">
        <f t="shared" si="21"/>
        <v>42750</v>
      </c>
      <c r="O92" s="75">
        <f t="shared" si="22"/>
        <v>11175</v>
      </c>
      <c r="P92" s="76">
        <f t="shared" si="23"/>
        <v>0.35391923990498814</v>
      </c>
    </row>
    <row r="93" spans="2:16" x14ac:dyDescent="0.3">
      <c r="B93" s="73">
        <v>25000</v>
      </c>
      <c r="C93" s="9">
        <f>'Tariffs Inputs'!$J$40</f>
        <v>2820</v>
      </c>
      <c r="D93" s="24">
        <f>'Tariffs Inputs'!$K$40*'Tariffs Inputs'!$AB$40</f>
        <v>555</v>
      </c>
      <c r="E93" s="9">
        <f>B93*$H$85*'Tariffs Inputs'!$L$40</f>
        <v>12500</v>
      </c>
      <c r="F93" s="9">
        <f>B93*$I$85*'Tariffs Inputs'!$M$40</f>
        <v>1500</v>
      </c>
      <c r="G93" s="9">
        <f>B93*$J$85*'Tariffs Inputs'!$N$40</f>
        <v>21250</v>
      </c>
      <c r="H93" s="51">
        <f t="shared" si="20"/>
        <v>38625</v>
      </c>
      <c r="I93" s="11">
        <f>'Tariffs Inputs'!$T$40</f>
        <v>1300</v>
      </c>
      <c r="J93" s="30">
        <f>'Tariffs Inputs'!$U$40*'Tariffs Inputs'!$AB$40</f>
        <v>750</v>
      </c>
      <c r="K93" s="11">
        <f>B93*$H$85*'Tariffs Inputs'!$V$40</f>
        <v>12750</v>
      </c>
      <c r="L93" s="11">
        <f>B93*$I$85*'Tariffs Inputs'!$W$40</f>
        <v>2000</v>
      </c>
      <c r="M93" s="11">
        <f>B93*$J$85*'Tariffs Inputs'!$X$40</f>
        <v>36125</v>
      </c>
      <c r="N93" s="28">
        <f t="shared" si="21"/>
        <v>52925</v>
      </c>
      <c r="O93" s="139">
        <f>+N93-H93</f>
        <v>14300</v>
      </c>
      <c r="P93" s="83">
        <f>+O93/H93</f>
        <v>0.37022653721682847</v>
      </c>
    </row>
    <row r="94" spans="2:16" x14ac:dyDescent="0.3">
      <c r="B94" s="124">
        <v>30000</v>
      </c>
      <c r="C94" s="9">
        <f>'Tariffs Inputs'!$J$40</f>
        <v>2820</v>
      </c>
      <c r="D94" s="24">
        <f>'Tariffs Inputs'!$K$40*'Tariffs Inputs'!$AB$40</f>
        <v>555</v>
      </c>
      <c r="E94" s="9">
        <f>B94*$H$85*'Tariffs Inputs'!$L$40</f>
        <v>15000</v>
      </c>
      <c r="F94" s="9">
        <f>B94*$I$85*'Tariffs Inputs'!$M$40</f>
        <v>1800</v>
      </c>
      <c r="G94" s="9">
        <f>B94*$J$85*'Tariffs Inputs'!$N$40</f>
        <v>25500</v>
      </c>
      <c r="H94" s="51">
        <f t="shared" si="20"/>
        <v>45675</v>
      </c>
      <c r="I94" s="11">
        <f>'Tariffs Inputs'!$T$40</f>
        <v>1300</v>
      </c>
      <c r="J94" s="30">
        <f>'Tariffs Inputs'!$U$40*'Tariffs Inputs'!$AB$40</f>
        <v>750</v>
      </c>
      <c r="K94" s="11">
        <f>B94*$H$85*'Tariffs Inputs'!$V$40</f>
        <v>15299.999999999998</v>
      </c>
      <c r="L94" s="11">
        <f>B94*$I$85*'Tariffs Inputs'!$W$40</f>
        <v>2400</v>
      </c>
      <c r="M94" s="11">
        <f>B94*$J$85*'Tariffs Inputs'!$X$40</f>
        <v>43350</v>
      </c>
      <c r="N94" s="28">
        <f t="shared" si="21"/>
        <v>63100</v>
      </c>
      <c r="O94" s="75">
        <f>+N94-H94</f>
        <v>17425</v>
      </c>
      <c r="P94" s="76">
        <f>+O94/H94</f>
        <v>0.38149972632731255</v>
      </c>
    </row>
    <row r="95" spans="2:16" x14ac:dyDescent="0.3">
      <c r="B95" s="1"/>
      <c r="C95" s="2"/>
      <c r="D95" s="2"/>
      <c r="E95" s="2"/>
      <c r="F95" s="2"/>
      <c r="G95" s="2"/>
      <c r="H95" s="2"/>
      <c r="I95" s="2"/>
      <c r="J95" s="2"/>
      <c r="K95" s="3"/>
      <c r="L95" s="4"/>
      <c r="M95" s="4"/>
      <c r="N95" s="4"/>
      <c r="O95" s="4"/>
      <c r="P95" s="67"/>
    </row>
    <row r="97" spans="2:16" ht="14.4" customHeight="1" x14ac:dyDescent="0.3">
      <c r="C97" s="133"/>
      <c r="D97" s="134"/>
      <c r="E97" s="134"/>
      <c r="F97" s="236" t="s">
        <v>110</v>
      </c>
      <c r="G97" s="236"/>
      <c r="H97" s="52" t="s">
        <v>37</v>
      </c>
      <c r="I97" s="52" t="s">
        <v>38</v>
      </c>
      <c r="J97" s="49" t="s">
        <v>109</v>
      </c>
    </row>
    <row r="98" spans="2:16" x14ac:dyDescent="0.3">
      <c r="B98" s="6"/>
      <c r="C98" s="135" t="str">
        <f>"High Season "&amp;'Tariffs Inputs'!C41&amp;" "&amp;'Tariffs Inputs'!D41&amp;" comparison"</f>
        <v>High Season I TOU Tariff 9 comparison</v>
      </c>
      <c r="D98" s="6"/>
      <c r="E98" s="6"/>
      <c r="F98" s="237"/>
      <c r="G98" s="237"/>
      <c r="H98" s="136">
        <v>0.33</v>
      </c>
      <c r="I98" s="132">
        <v>0.33</v>
      </c>
      <c r="J98" s="137">
        <f>100%-(H98+I98)</f>
        <v>0.33999999999999997</v>
      </c>
      <c r="K98" s="6"/>
      <c r="L98" s="6"/>
      <c r="M98" s="6"/>
      <c r="N98" s="6"/>
      <c r="O98" s="6"/>
      <c r="P98" s="6"/>
    </row>
    <row r="99" spans="2:16" ht="43.2" x14ac:dyDescent="0.3">
      <c r="B99" s="63" t="s">
        <v>3</v>
      </c>
      <c r="C99" s="144" t="str">
        <f>C3</f>
        <v>Year 1 High Season</v>
      </c>
      <c r="D99" s="145"/>
      <c r="E99" s="145"/>
      <c r="F99" s="145"/>
      <c r="G99" s="145"/>
      <c r="H99" s="146"/>
      <c r="I99" s="144" t="str">
        <f>I3</f>
        <v>Year 2 High Season</v>
      </c>
      <c r="J99" s="145"/>
      <c r="K99" s="145"/>
      <c r="L99" s="145"/>
      <c r="M99" s="145"/>
      <c r="N99" s="146"/>
      <c r="O99" s="148" t="s">
        <v>9</v>
      </c>
      <c r="P99" s="151" t="s">
        <v>10</v>
      </c>
    </row>
    <row r="100" spans="2:16" ht="43.2" x14ac:dyDescent="0.3">
      <c r="B100" s="69" t="s">
        <v>1</v>
      </c>
      <c r="C100" s="53" t="s">
        <v>6</v>
      </c>
      <c r="D100" s="65" t="s">
        <v>25</v>
      </c>
      <c r="E100" s="53" t="s">
        <v>106</v>
      </c>
      <c r="F100" s="53" t="s">
        <v>107</v>
      </c>
      <c r="G100" s="53" t="s">
        <v>108</v>
      </c>
      <c r="H100" s="53" t="s">
        <v>2</v>
      </c>
      <c r="I100" s="53" t="s">
        <v>6</v>
      </c>
      <c r="J100" s="65" t="s">
        <v>25</v>
      </c>
      <c r="K100" s="53" t="s">
        <v>106</v>
      </c>
      <c r="L100" s="53" t="s">
        <v>107</v>
      </c>
      <c r="M100" s="53" t="s">
        <v>108</v>
      </c>
      <c r="N100" s="65" t="s">
        <v>2</v>
      </c>
      <c r="O100" s="238"/>
      <c r="P100" s="150"/>
    </row>
    <row r="101" spans="2:16" x14ac:dyDescent="0.3">
      <c r="B101" s="71">
        <v>5000</v>
      </c>
      <c r="C101" s="9">
        <f>'Tariffs Inputs'!$J$41</f>
        <v>2324.1509123283927</v>
      </c>
      <c r="D101" s="24">
        <f>'Tariffs Inputs'!$K$41*'Tariffs Inputs'!$AB$41</f>
        <v>338</v>
      </c>
      <c r="E101" s="9">
        <f>B101*$H$98*'Tariffs Inputs'!$L$41</f>
        <v>8250</v>
      </c>
      <c r="F101" s="9">
        <f>B101*$I$98*'Tariffs Inputs'!$M$41</f>
        <v>1980</v>
      </c>
      <c r="G101" s="9">
        <f>B101*$J$98*'Tariffs Inputs'!$N$41</f>
        <v>1699.9999999999998</v>
      </c>
      <c r="H101" s="51">
        <f>SUM(C101:G101)</f>
        <v>14592.150912328392</v>
      </c>
      <c r="I101" s="11">
        <f>'Tariffs Inputs'!$T$41</f>
        <v>2954</v>
      </c>
      <c r="J101" s="30">
        <f>'Tariffs Inputs'!$U$41*'Tariffs Inputs'!$AB$41</f>
        <v>500</v>
      </c>
      <c r="K101" s="11">
        <f>B101*$H$98*'Tariffs Inputs'!$V$41</f>
        <v>8910</v>
      </c>
      <c r="L101" s="11">
        <f>B101*$I$98*'Tariffs Inputs'!$W$41</f>
        <v>2425.5</v>
      </c>
      <c r="M101" s="11">
        <f>B101*$J$98*'Tariffs Inputs'!$X$41</f>
        <v>2379.9999999999995</v>
      </c>
      <c r="N101" s="28">
        <f>SUM(I101:M101)</f>
        <v>17169.5</v>
      </c>
      <c r="O101" s="75">
        <f>+N101-H101</f>
        <v>2577.3490876716078</v>
      </c>
      <c r="P101" s="76">
        <f>+O101/H101</f>
        <v>0.17662571495845047</v>
      </c>
    </row>
    <row r="102" spans="2:16" x14ac:dyDescent="0.3">
      <c r="B102" s="72">
        <v>8000</v>
      </c>
      <c r="C102" s="9">
        <f>'Tariffs Inputs'!$J$41</f>
        <v>2324.1509123283927</v>
      </c>
      <c r="D102" s="24">
        <f>'Tariffs Inputs'!$K$41*'Tariffs Inputs'!$AB$41</f>
        <v>338</v>
      </c>
      <c r="E102" s="9">
        <f>B102*$H$98*'Tariffs Inputs'!$L$41</f>
        <v>13200</v>
      </c>
      <c r="F102" s="9">
        <f>B102*$I$98*'Tariffs Inputs'!$M$41</f>
        <v>3168</v>
      </c>
      <c r="G102" s="9">
        <f>B102*$J$98*'Tariffs Inputs'!$N$41</f>
        <v>2719.9999999999995</v>
      </c>
      <c r="H102" s="51">
        <f t="shared" ref="H102:H107" si="24">SUM(C102:G102)</f>
        <v>21750.15091232839</v>
      </c>
      <c r="I102" s="11">
        <f>'Tariffs Inputs'!$T$41</f>
        <v>2954</v>
      </c>
      <c r="J102" s="30">
        <f>'Tariffs Inputs'!$U$41*'Tariffs Inputs'!$AB$41</f>
        <v>500</v>
      </c>
      <c r="K102" s="11">
        <f>B102*$H$98*'Tariffs Inputs'!$V$41</f>
        <v>14256.000000000002</v>
      </c>
      <c r="L102" s="11">
        <f>B102*$I$98*'Tariffs Inputs'!$W$41</f>
        <v>3880.7999999999997</v>
      </c>
      <c r="M102" s="11">
        <f>B102*$J$98*'Tariffs Inputs'!$X$41</f>
        <v>3807.9999999999991</v>
      </c>
      <c r="N102" s="28">
        <f t="shared" ref="N102:N107" si="25">SUM(I102:M102)</f>
        <v>25398.799999999999</v>
      </c>
      <c r="O102" s="77">
        <f>+N102-H102</f>
        <v>3648.6490876716089</v>
      </c>
      <c r="P102" s="79">
        <f>+O102/H102</f>
        <v>0.16775281708981093</v>
      </c>
    </row>
    <row r="103" spans="2:16" x14ac:dyDescent="0.3">
      <c r="B103" s="71">
        <v>10000</v>
      </c>
      <c r="C103" s="9">
        <f>'Tariffs Inputs'!$J$41</f>
        <v>2324.1509123283927</v>
      </c>
      <c r="D103" s="24">
        <f>'Tariffs Inputs'!$K$41*'Tariffs Inputs'!$AB$41</f>
        <v>338</v>
      </c>
      <c r="E103" s="9">
        <f>B103*$H$98*'Tariffs Inputs'!$L$41</f>
        <v>16500</v>
      </c>
      <c r="F103" s="9">
        <f>B103*$I$98*'Tariffs Inputs'!$M$41</f>
        <v>3960</v>
      </c>
      <c r="G103" s="9">
        <f>B103*$J$98*'Tariffs Inputs'!$N$41</f>
        <v>3399.9999999999995</v>
      </c>
      <c r="H103" s="51">
        <f t="shared" si="24"/>
        <v>26522.150912328394</v>
      </c>
      <c r="I103" s="11">
        <f>'Tariffs Inputs'!$T$41</f>
        <v>2954</v>
      </c>
      <c r="J103" s="30">
        <f>'Tariffs Inputs'!$U$41*'Tariffs Inputs'!$AB$41</f>
        <v>500</v>
      </c>
      <c r="K103" s="11">
        <f>B103*$H$98*'Tariffs Inputs'!$V$41</f>
        <v>17820</v>
      </c>
      <c r="L103" s="11">
        <f>B103*$I$98*'Tariffs Inputs'!$W$41</f>
        <v>4851</v>
      </c>
      <c r="M103" s="11">
        <f>B103*$J$98*'Tariffs Inputs'!$X$41</f>
        <v>4759.9999999999991</v>
      </c>
      <c r="N103" s="28">
        <f t="shared" si="25"/>
        <v>30885</v>
      </c>
      <c r="O103" s="75">
        <f>+N103-H103</f>
        <v>4362.849087671606</v>
      </c>
      <c r="P103" s="76">
        <f>+O103/H103</f>
        <v>0.16449831320594763</v>
      </c>
    </row>
    <row r="104" spans="2:16" x14ac:dyDescent="0.3">
      <c r="B104" s="72">
        <v>15000</v>
      </c>
      <c r="C104" s="9">
        <f>'Tariffs Inputs'!$J$41</f>
        <v>2324.1509123283927</v>
      </c>
      <c r="D104" s="24">
        <f>'Tariffs Inputs'!$K$41*'Tariffs Inputs'!$AB$41</f>
        <v>338</v>
      </c>
      <c r="E104" s="9">
        <f>B104*$H$98*'Tariffs Inputs'!$L$41</f>
        <v>24750</v>
      </c>
      <c r="F104" s="9">
        <f>B104*$I$98*'Tariffs Inputs'!$M$41</f>
        <v>5940</v>
      </c>
      <c r="G104" s="9">
        <f>B104*$J$98*'Tariffs Inputs'!$N$41</f>
        <v>5099.9999999999991</v>
      </c>
      <c r="H104" s="51">
        <f t="shared" si="24"/>
        <v>38452.15091232839</v>
      </c>
      <c r="I104" s="11">
        <f>'Tariffs Inputs'!$T$41</f>
        <v>2954</v>
      </c>
      <c r="J104" s="30">
        <f>'Tariffs Inputs'!$U$41*'Tariffs Inputs'!$AB$41</f>
        <v>500</v>
      </c>
      <c r="K104" s="11">
        <f>B104*$H$98*'Tariffs Inputs'!$V$41</f>
        <v>26730</v>
      </c>
      <c r="L104" s="11">
        <f>B104*$I$98*'Tariffs Inputs'!$W$41</f>
        <v>7276.5</v>
      </c>
      <c r="M104" s="11">
        <f>B104*$J$98*'Tariffs Inputs'!$X$41</f>
        <v>7139.9999999999982</v>
      </c>
      <c r="N104" s="28">
        <f t="shared" si="25"/>
        <v>44600.5</v>
      </c>
      <c r="O104" s="75">
        <f t="shared" ref="O104:O105" si="26">+N104-H104</f>
        <v>6148.3490876716096</v>
      </c>
      <c r="P104" s="76">
        <f t="shared" ref="P104:P105" si="27">+O104/H104</f>
        <v>0.15989610312541314</v>
      </c>
    </row>
    <row r="105" spans="2:16" x14ac:dyDescent="0.3">
      <c r="B105" s="73">
        <v>20000</v>
      </c>
      <c r="C105" s="9">
        <f>'Tariffs Inputs'!$J$41</f>
        <v>2324.1509123283927</v>
      </c>
      <c r="D105" s="24">
        <f>'Tariffs Inputs'!$K$41*'Tariffs Inputs'!$AB$41</f>
        <v>338</v>
      </c>
      <c r="E105" s="9">
        <f>B105*$H$98*'Tariffs Inputs'!$L$41</f>
        <v>33000</v>
      </c>
      <c r="F105" s="9">
        <f>B105*$I$98*'Tariffs Inputs'!$M$41</f>
        <v>7920</v>
      </c>
      <c r="G105" s="9">
        <f>B105*$J$98*'Tariffs Inputs'!$N$41</f>
        <v>6799.9999999999991</v>
      </c>
      <c r="H105" s="51">
        <f t="shared" si="24"/>
        <v>50382.15091232839</v>
      </c>
      <c r="I105" s="11">
        <f>'Tariffs Inputs'!$T$41</f>
        <v>2954</v>
      </c>
      <c r="J105" s="30">
        <f>'Tariffs Inputs'!$U$41*'Tariffs Inputs'!$AB$41</f>
        <v>500</v>
      </c>
      <c r="K105" s="11">
        <f>B105*$H$98*'Tariffs Inputs'!$V$41</f>
        <v>35640</v>
      </c>
      <c r="L105" s="11">
        <f>B105*$I$98*'Tariffs Inputs'!$W$41</f>
        <v>9702</v>
      </c>
      <c r="M105" s="11">
        <f>B105*$J$98*'Tariffs Inputs'!$X$41</f>
        <v>9519.9999999999982</v>
      </c>
      <c r="N105" s="28">
        <f t="shared" si="25"/>
        <v>58316</v>
      </c>
      <c r="O105" s="75">
        <f t="shared" si="26"/>
        <v>7933.8490876716096</v>
      </c>
      <c r="P105" s="76">
        <f t="shared" si="27"/>
        <v>0.15747340961043044</v>
      </c>
    </row>
    <row r="106" spans="2:16" x14ac:dyDescent="0.3">
      <c r="B106" s="73">
        <v>25000</v>
      </c>
      <c r="C106" s="9">
        <f>'Tariffs Inputs'!$J$41</f>
        <v>2324.1509123283927</v>
      </c>
      <c r="D106" s="24">
        <f>'Tariffs Inputs'!$K$41*'Tariffs Inputs'!$AB$41</f>
        <v>338</v>
      </c>
      <c r="E106" s="9">
        <f>B106*$H$98*'Tariffs Inputs'!$L$41</f>
        <v>41250</v>
      </c>
      <c r="F106" s="9">
        <f>B106*$I$98*'Tariffs Inputs'!$M$41</f>
        <v>9900</v>
      </c>
      <c r="G106" s="9">
        <f>B106*$J$98*'Tariffs Inputs'!$N$41</f>
        <v>8500</v>
      </c>
      <c r="H106" s="51">
        <f t="shared" si="24"/>
        <v>62312.15091232839</v>
      </c>
      <c r="I106" s="11">
        <f>'Tariffs Inputs'!$T$41</f>
        <v>2954</v>
      </c>
      <c r="J106" s="30">
        <f>'Tariffs Inputs'!$U$41*'Tariffs Inputs'!$AB$41</f>
        <v>500</v>
      </c>
      <c r="K106" s="11">
        <f>B106*$H$98*'Tariffs Inputs'!$V$41</f>
        <v>44550</v>
      </c>
      <c r="L106" s="11">
        <f>B106*$I$98*'Tariffs Inputs'!$W$41</f>
        <v>12127.5</v>
      </c>
      <c r="M106" s="11">
        <f>B106*$J$98*'Tariffs Inputs'!$X$41</f>
        <v>11900</v>
      </c>
      <c r="N106" s="28">
        <f t="shared" si="25"/>
        <v>72031.5</v>
      </c>
      <c r="O106" s="139">
        <f>+N106-H106</f>
        <v>9719.3490876716096</v>
      </c>
      <c r="P106" s="83">
        <f>+O106/H106</f>
        <v>0.15597839178022416</v>
      </c>
    </row>
    <row r="107" spans="2:16" x14ac:dyDescent="0.3">
      <c r="B107" s="124">
        <v>30000</v>
      </c>
      <c r="C107" s="9">
        <f>'Tariffs Inputs'!$J$41</f>
        <v>2324.1509123283927</v>
      </c>
      <c r="D107" s="24">
        <f>'Tariffs Inputs'!$K$41*'Tariffs Inputs'!$AB$41</f>
        <v>338</v>
      </c>
      <c r="E107" s="9">
        <f>B107*$H$98*'Tariffs Inputs'!$L$41</f>
        <v>49500</v>
      </c>
      <c r="F107" s="9">
        <f>B107*$I$98*'Tariffs Inputs'!$M$41</f>
        <v>11880</v>
      </c>
      <c r="G107" s="9">
        <f>B107*$J$98*'Tariffs Inputs'!$N$41</f>
        <v>10199.999999999998</v>
      </c>
      <c r="H107" s="51">
        <f t="shared" si="24"/>
        <v>74242.15091232839</v>
      </c>
      <c r="I107" s="11">
        <f>'Tariffs Inputs'!$T$41</f>
        <v>2954</v>
      </c>
      <c r="J107" s="30">
        <f>'Tariffs Inputs'!$U$41*'Tariffs Inputs'!$AB$41</f>
        <v>500</v>
      </c>
      <c r="K107" s="11">
        <f>B107*$H$98*'Tariffs Inputs'!$V$41</f>
        <v>53460</v>
      </c>
      <c r="L107" s="11">
        <f>B107*$I$98*'Tariffs Inputs'!$W$41</f>
        <v>14553</v>
      </c>
      <c r="M107" s="11">
        <f>B107*$J$98*'Tariffs Inputs'!$X$41</f>
        <v>14279.999999999996</v>
      </c>
      <c r="N107" s="28">
        <f t="shared" si="25"/>
        <v>85747</v>
      </c>
      <c r="O107" s="75">
        <f>+N107-H107</f>
        <v>11504.84908767161</v>
      </c>
      <c r="P107" s="76">
        <f>+O107/H107</f>
        <v>0.15496384393897125</v>
      </c>
    </row>
    <row r="108" spans="2:16" x14ac:dyDescent="0.3">
      <c r="B108" s="1"/>
      <c r="C108" s="2"/>
      <c r="D108" s="2"/>
      <c r="E108" s="2"/>
      <c r="F108" s="2"/>
      <c r="G108" s="2"/>
      <c r="H108" s="2"/>
      <c r="I108" s="2"/>
      <c r="J108" s="2"/>
      <c r="K108" s="3"/>
      <c r="L108" s="4"/>
      <c r="M108" s="4"/>
      <c r="N108" s="4"/>
      <c r="O108" s="4"/>
      <c r="P108" s="67"/>
    </row>
    <row r="110" spans="2:16" ht="14.4" customHeight="1" x14ac:dyDescent="0.3">
      <c r="C110" s="133"/>
      <c r="D110" s="134"/>
      <c r="E110" s="134"/>
      <c r="F110" s="236" t="s">
        <v>110</v>
      </c>
      <c r="G110" s="236"/>
      <c r="H110" s="52" t="s">
        <v>37</v>
      </c>
      <c r="I110" s="52" t="s">
        <v>38</v>
      </c>
      <c r="J110" s="49" t="s">
        <v>109</v>
      </c>
    </row>
    <row r="111" spans="2:16" x14ac:dyDescent="0.3">
      <c r="B111" s="6"/>
      <c r="C111" s="135" t="str">
        <f>"High Season "&amp;'Tariffs Inputs'!C42&amp;" "&amp;'Tariffs Inputs'!D42&amp;" comparison"</f>
        <v>High Season J TOU Tariff 10 comparison</v>
      </c>
      <c r="D111" s="6"/>
      <c r="E111" s="6"/>
      <c r="F111" s="237"/>
      <c r="G111" s="237"/>
      <c r="H111" s="136">
        <v>0.19</v>
      </c>
      <c r="I111" s="132">
        <v>0.77</v>
      </c>
      <c r="J111" s="137">
        <f>100%-(H111+I111)</f>
        <v>4.0000000000000036E-2</v>
      </c>
      <c r="K111" s="6"/>
      <c r="L111" s="6"/>
      <c r="M111" s="6"/>
      <c r="N111" s="6"/>
      <c r="O111" s="6"/>
      <c r="P111" s="6"/>
    </row>
    <row r="112" spans="2:16" ht="43.2" x14ac:dyDescent="0.3">
      <c r="B112" s="63" t="s">
        <v>3</v>
      </c>
      <c r="C112" s="144" t="str">
        <f>C3</f>
        <v>Year 1 High Season</v>
      </c>
      <c r="D112" s="145"/>
      <c r="E112" s="145"/>
      <c r="F112" s="145"/>
      <c r="G112" s="145"/>
      <c r="H112" s="146"/>
      <c r="I112" s="144" t="str">
        <f>I3</f>
        <v>Year 2 High Season</v>
      </c>
      <c r="J112" s="145"/>
      <c r="K112" s="145"/>
      <c r="L112" s="145"/>
      <c r="M112" s="145"/>
      <c r="N112" s="146"/>
      <c r="O112" s="148" t="s">
        <v>9</v>
      </c>
      <c r="P112" s="151" t="s">
        <v>10</v>
      </c>
    </row>
    <row r="113" spans="2:16" ht="43.2" x14ac:dyDescent="0.3">
      <c r="B113" s="69" t="s">
        <v>1</v>
      </c>
      <c r="C113" s="53" t="s">
        <v>6</v>
      </c>
      <c r="D113" s="65" t="s">
        <v>25</v>
      </c>
      <c r="E113" s="53" t="s">
        <v>106</v>
      </c>
      <c r="F113" s="53" t="s">
        <v>107</v>
      </c>
      <c r="G113" s="53" t="s">
        <v>108</v>
      </c>
      <c r="H113" s="53" t="s">
        <v>2</v>
      </c>
      <c r="I113" s="53" t="s">
        <v>6</v>
      </c>
      <c r="J113" s="65" t="s">
        <v>25</v>
      </c>
      <c r="K113" s="53" t="s">
        <v>106</v>
      </c>
      <c r="L113" s="53" t="s">
        <v>107</v>
      </c>
      <c r="M113" s="53" t="s">
        <v>108</v>
      </c>
      <c r="N113" s="65" t="s">
        <v>2</v>
      </c>
      <c r="O113" s="238"/>
      <c r="P113" s="150"/>
    </row>
    <row r="114" spans="2:16" x14ac:dyDescent="0.3">
      <c r="B114" s="71">
        <v>5000</v>
      </c>
      <c r="C114" s="9">
        <f>'Tariffs Inputs'!$J$42</f>
        <v>1300</v>
      </c>
      <c r="D114" s="24">
        <f>'Tariffs Inputs'!$K$42*'Tariffs Inputs'!$AB$42</f>
        <v>1490</v>
      </c>
      <c r="E114" s="9">
        <f>B114*$H$111*'Tariffs Inputs'!$L$42</f>
        <v>4750</v>
      </c>
      <c r="F114" s="9">
        <f>B114*$I$111*'Tariffs Inputs'!$M$42</f>
        <v>4620</v>
      </c>
      <c r="G114" s="9">
        <f>B114*$J$111*'Tariffs Inputs'!$N$42</f>
        <v>200.00000000000017</v>
      </c>
      <c r="H114" s="51">
        <f>SUM(C114:G114)</f>
        <v>12360</v>
      </c>
      <c r="I114" s="11">
        <f>'Tariffs Inputs'!$T$42</f>
        <v>1400</v>
      </c>
      <c r="J114" s="30">
        <f>'Tariffs Inputs'!$U$42*'Tariffs Inputs'!$AB$42</f>
        <v>2500</v>
      </c>
      <c r="K114" s="11">
        <f>B114*$H$111*'Tariffs Inputs'!$V$42</f>
        <v>5225</v>
      </c>
      <c r="L114" s="11">
        <f>B114*$I$111*'Tariffs Inputs'!$W$42</f>
        <v>5005</v>
      </c>
      <c r="M114" s="11">
        <f>B114*$J$111*'Tariffs Inputs'!$X$42</f>
        <v>220.0000000000002</v>
      </c>
      <c r="N114" s="28">
        <f>SUM(I114:M114)</f>
        <v>14350</v>
      </c>
      <c r="O114" s="75">
        <f>+N114-H114</f>
        <v>1990</v>
      </c>
      <c r="P114" s="76">
        <f>+O114/H114</f>
        <v>0.1610032362459547</v>
      </c>
    </row>
    <row r="115" spans="2:16" x14ac:dyDescent="0.3">
      <c r="B115" s="72">
        <v>8000</v>
      </c>
      <c r="C115" s="9">
        <f>'Tariffs Inputs'!$J$42</f>
        <v>1300</v>
      </c>
      <c r="D115" s="24">
        <f>'Tariffs Inputs'!$K$42*'Tariffs Inputs'!$AB$42</f>
        <v>1490</v>
      </c>
      <c r="E115" s="9">
        <f>B115*$H$111*'Tariffs Inputs'!$L$42</f>
        <v>7600</v>
      </c>
      <c r="F115" s="9">
        <f>B115*$I$111*'Tariffs Inputs'!$M$42</f>
        <v>7392</v>
      </c>
      <c r="G115" s="9">
        <f>B115*$J$111*'Tariffs Inputs'!$N$42</f>
        <v>320.00000000000028</v>
      </c>
      <c r="H115" s="51">
        <f t="shared" ref="H115:H120" si="28">SUM(C115:G115)</f>
        <v>18102</v>
      </c>
      <c r="I115" s="11">
        <f>'Tariffs Inputs'!$T$42</f>
        <v>1400</v>
      </c>
      <c r="J115" s="30">
        <f>'Tariffs Inputs'!$U$42*'Tariffs Inputs'!$AB$42</f>
        <v>2500</v>
      </c>
      <c r="K115" s="11">
        <f>B115*$H$111*'Tariffs Inputs'!$V$42</f>
        <v>8360</v>
      </c>
      <c r="L115" s="11">
        <f>B115*$I$111*'Tariffs Inputs'!$W$42</f>
        <v>8008</v>
      </c>
      <c r="M115" s="11">
        <f>B115*$J$111*'Tariffs Inputs'!$X$42</f>
        <v>352.00000000000034</v>
      </c>
      <c r="N115" s="28">
        <f t="shared" ref="N115:N120" si="29">SUM(I115:M115)</f>
        <v>20620</v>
      </c>
      <c r="O115" s="77">
        <f>+N115-H115</f>
        <v>2518</v>
      </c>
      <c r="P115" s="79">
        <f>+O115/H115</f>
        <v>0.13910065186167275</v>
      </c>
    </row>
    <row r="116" spans="2:16" x14ac:dyDescent="0.3">
      <c r="B116" s="71">
        <v>10000</v>
      </c>
      <c r="C116" s="9">
        <f>'Tariffs Inputs'!$J$42</f>
        <v>1300</v>
      </c>
      <c r="D116" s="24">
        <f>'Tariffs Inputs'!$K$42*'Tariffs Inputs'!$AB$42</f>
        <v>1490</v>
      </c>
      <c r="E116" s="9">
        <f>B116*$H$111*'Tariffs Inputs'!$L$42</f>
        <v>9500</v>
      </c>
      <c r="F116" s="9">
        <f>B116*$I$111*'Tariffs Inputs'!$M$42</f>
        <v>9240</v>
      </c>
      <c r="G116" s="9">
        <f>B116*$J$111*'Tariffs Inputs'!$N$42</f>
        <v>400.00000000000034</v>
      </c>
      <c r="H116" s="51">
        <f t="shared" si="28"/>
        <v>21930</v>
      </c>
      <c r="I116" s="11">
        <f>'Tariffs Inputs'!$T$42</f>
        <v>1400</v>
      </c>
      <c r="J116" s="30">
        <f>'Tariffs Inputs'!$U$42*'Tariffs Inputs'!$AB$42</f>
        <v>2500</v>
      </c>
      <c r="K116" s="11">
        <f>B116*$H$111*'Tariffs Inputs'!$V$42</f>
        <v>10450</v>
      </c>
      <c r="L116" s="11">
        <f>B116*$I$111*'Tariffs Inputs'!$W$42</f>
        <v>10010</v>
      </c>
      <c r="M116" s="11">
        <f>B116*$J$111*'Tariffs Inputs'!$X$42</f>
        <v>440.0000000000004</v>
      </c>
      <c r="N116" s="28">
        <f t="shared" si="29"/>
        <v>24800</v>
      </c>
      <c r="O116" s="75">
        <f>+N116-H116</f>
        <v>2870</v>
      </c>
      <c r="P116" s="76">
        <f>+O116/H116</f>
        <v>0.13087095303237575</v>
      </c>
    </row>
    <row r="117" spans="2:16" x14ac:dyDescent="0.3">
      <c r="B117" s="72">
        <v>15000</v>
      </c>
      <c r="C117" s="9">
        <f>'Tariffs Inputs'!$J$42</f>
        <v>1300</v>
      </c>
      <c r="D117" s="24">
        <f>'Tariffs Inputs'!$K$42*'Tariffs Inputs'!$AB$42</f>
        <v>1490</v>
      </c>
      <c r="E117" s="9">
        <f>B117*$H$111*'Tariffs Inputs'!$L$42</f>
        <v>14250</v>
      </c>
      <c r="F117" s="9">
        <f>B117*$I$111*'Tariffs Inputs'!$M$42</f>
        <v>13860</v>
      </c>
      <c r="G117" s="9">
        <f>B117*$J$111*'Tariffs Inputs'!$N$42</f>
        <v>600.00000000000057</v>
      </c>
      <c r="H117" s="51">
        <f t="shared" si="28"/>
        <v>31500</v>
      </c>
      <c r="I117" s="11">
        <f>'Tariffs Inputs'!$T$42</f>
        <v>1400</v>
      </c>
      <c r="J117" s="30">
        <f>'Tariffs Inputs'!$U$42*'Tariffs Inputs'!$AB$42</f>
        <v>2500</v>
      </c>
      <c r="K117" s="11">
        <f>B117*$H$111*'Tariffs Inputs'!$V$42</f>
        <v>15675</v>
      </c>
      <c r="L117" s="11">
        <f>B117*$I$111*'Tariffs Inputs'!$W$42</f>
        <v>15015</v>
      </c>
      <c r="M117" s="11">
        <f>B117*$J$111*'Tariffs Inputs'!$X$42</f>
        <v>660.00000000000068</v>
      </c>
      <c r="N117" s="28">
        <f t="shared" si="29"/>
        <v>35250</v>
      </c>
      <c r="O117" s="75">
        <f t="shared" ref="O117:O118" si="30">+N117-H117</f>
        <v>3750</v>
      </c>
      <c r="P117" s="76">
        <f t="shared" ref="P117:P118" si="31">+O117/H117</f>
        <v>0.11904761904761904</v>
      </c>
    </row>
    <row r="118" spans="2:16" x14ac:dyDescent="0.3">
      <c r="B118" s="73">
        <v>20000</v>
      </c>
      <c r="C118" s="9">
        <f>'Tariffs Inputs'!$J$42</f>
        <v>1300</v>
      </c>
      <c r="D118" s="24">
        <f>'Tariffs Inputs'!$K$42*'Tariffs Inputs'!$AB$42</f>
        <v>1490</v>
      </c>
      <c r="E118" s="9">
        <f>B118*$H$111*'Tariffs Inputs'!$L$42</f>
        <v>19000</v>
      </c>
      <c r="F118" s="9">
        <f>B118*$I$111*'Tariffs Inputs'!$M$42</f>
        <v>18480</v>
      </c>
      <c r="G118" s="9">
        <f>B118*$J$111*'Tariffs Inputs'!$N$42</f>
        <v>800.00000000000068</v>
      </c>
      <c r="H118" s="51">
        <f t="shared" si="28"/>
        <v>41070</v>
      </c>
      <c r="I118" s="11">
        <f>'Tariffs Inputs'!$T$42</f>
        <v>1400</v>
      </c>
      <c r="J118" s="30">
        <f>'Tariffs Inputs'!$U$42*'Tariffs Inputs'!$AB$42</f>
        <v>2500</v>
      </c>
      <c r="K118" s="11">
        <f>B118*$H$111*'Tariffs Inputs'!$V$42</f>
        <v>20900</v>
      </c>
      <c r="L118" s="11">
        <f>B118*$I$111*'Tariffs Inputs'!$W$42</f>
        <v>20020</v>
      </c>
      <c r="M118" s="11">
        <f>B118*$J$111*'Tariffs Inputs'!$X$42</f>
        <v>880.0000000000008</v>
      </c>
      <c r="N118" s="28">
        <f t="shared" si="29"/>
        <v>45700</v>
      </c>
      <c r="O118" s="75">
        <f t="shared" si="30"/>
        <v>4630</v>
      </c>
      <c r="P118" s="76">
        <f t="shared" si="31"/>
        <v>0.11273435597759922</v>
      </c>
    </row>
    <row r="119" spans="2:16" x14ac:dyDescent="0.3">
      <c r="B119" s="73">
        <v>25000</v>
      </c>
      <c r="C119" s="9">
        <f>'Tariffs Inputs'!$J$42</f>
        <v>1300</v>
      </c>
      <c r="D119" s="24">
        <f>'Tariffs Inputs'!$K$42*'Tariffs Inputs'!$AB$42</f>
        <v>1490</v>
      </c>
      <c r="E119" s="9">
        <f>B119*$H$111*'Tariffs Inputs'!$L$42</f>
        <v>23750</v>
      </c>
      <c r="F119" s="9">
        <f>B119*$I$111*'Tariffs Inputs'!$M$42</f>
        <v>23100</v>
      </c>
      <c r="G119" s="9">
        <f>B119*$J$111*'Tariffs Inputs'!$N$42</f>
        <v>1000.0000000000009</v>
      </c>
      <c r="H119" s="51">
        <f t="shared" si="28"/>
        <v>50640</v>
      </c>
      <c r="I119" s="11">
        <f>'Tariffs Inputs'!$T$42</f>
        <v>1400</v>
      </c>
      <c r="J119" s="30">
        <f>'Tariffs Inputs'!$U$42*'Tariffs Inputs'!$AB$42</f>
        <v>2500</v>
      </c>
      <c r="K119" s="11">
        <f>B119*$H$111*'Tariffs Inputs'!$V$42</f>
        <v>26125</v>
      </c>
      <c r="L119" s="11">
        <f>B119*$I$111*'Tariffs Inputs'!$W$42</f>
        <v>25025</v>
      </c>
      <c r="M119" s="11">
        <f>B119*$J$111*'Tariffs Inputs'!$X$42</f>
        <v>1100.0000000000011</v>
      </c>
      <c r="N119" s="28">
        <f t="shared" si="29"/>
        <v>56150</v>
      </c>
      <c r="O119" s="139">
        <f>+N119-H119</f>
        <v>5510</v>
      </c>
      <c r="P119" s="83">
        <f>+O119/H119</f>
        <v>0.10880726698262243</v>
      </c>
    </row>
    <row r="120" spans="2:16" x14ac:dyDescent="0.3">
      <c r="B120" s="124">
        <v>30000</v>
      </c>
      <c r="C120" s="9">
        <f>'Tariffs Inputs'!$J$42</f>
        <v>1300</v>
      </c>
      <c r="D120" s="24">
        <f>'Tariffs Inputs'!$K$42*'Tariffs Inputs'!$AB$42</f>
        <v>1490</v>
      </c>
      <c r="E120" s="9">
        <f>B120*$H$111*'Tariffs Inputs'!$L$42</f>
        <v>28500</v>
      </c>
      <c r="F120" s="9">
        <f>B120*$I$111*'Tariffs Inputs'!$M$42</f>
        <v>27720</v>
      </c>
      <c r="G120" s="9">
        <f>B120*$J$111*'Tariffs Inputs'!$N$42</f>
        <v>1200.0000000000011</v>
      </c>
      <c r="H120" s="51">
        <f t="shared" si="28"/>
        <v>60210</v>
      </c>
      <c r="I120" s="11">
        <f>'Tariffs Inputs'!$T$42</f>
        <v>1400</v>
      </c>
      <c r="J120" s="30">
        <f>'Tariffs Inputs'!$U$42*'Tariffs Inputs'!$AB$42</f>
        <v>2500</v>
      </c>
      <c r="K120" s="11">
        <f>B120*$H$111*'Tariffs Inputs'!$V$42</f>
        <v>31350</v>
      </c>
      <c r="L120" s="11">
        <f>B120*$I$111*'Tariffs Inputs'!$W$42</f>
        <v>30030</v>
      </c>
      <c r="M120" s="11">
        <f>B120*$J$111*'Tariffs Inputs'!$X$42</f>
        <v>1320.0000000000014</v>
      </c>
      <c r="N120" s="28">
        <f t="shared" si="29"/>
        <v>66600</v>
      </c>
      <c r="O120" s="75">
        <f>+N120-H120</f>
        <v>6390</v>
      </c>
      <c r="P120" s="76">
        <f>+O120/H120</f>
        <v>0.10612855007473841</v>
      </c>
    </row>
    <row r="121" spans="2:16" x14ac:dyDescent="0.3">
      <c r="B121" s="1"/>
      <c r="C121" s="2"/>
      <c r="D121" s="2"/>
      <c r="E121" s="2"/>
      <c r="F121" s="2"/>
      <c r="G121" s="2"/>
      <c r="H121" s="2"/>
      <c r="I121" s="2"/>
      <c r="J121" s="2"/>
      <c r="K121" s="3"/>
      <c r="L121" s="4"/>
      <c r="M121" s="4"/>
      <c r="N121" s="4"/>
      <c r="O121" s="4"/>
      <c r="P121" s="67"/>
    </row>
  </sheetData>
  <mergeCells count="50">
    <mergeCell ref="C25:H25"/>
    <mergeCell ref="I25:N25"/>
    <mergeCell ref="O25:O26"/>
    <mergeCell ref="P25:P26"/>
    <mergeCell ref="F1:G2"/>
    <mergeCell ref="C3:H3"/>
    <mergeCell ref="I3:N3"/>
    <mergeCell ref="O3:O4"/>
    <mergeCell ref="P3:P4"/>
    <mergeCell ref="F12:G13"/>
    <mergeCell ref="C14:H14"/>
    <mergeCell ref="I14:N14"/>
    <mergeCell ref="O14:O15"/>
    <mergeCell ref="P14:P15"/>
    <mergeCell ref="F23:G24"/>
    <mergeCell ref="C60:H60"/>
    <mergeCell ref="I60:N60"/>
    <mergeCell ref="O60:O61"/>
    <mergeCell ref="P60:P61"/>
    <mergeCell ref="F34:G35"/>
    <mergeCell ref="C36:H36"/>
    <mergeCell ref="I36:N36"/>
    <mergeCell ref="O36:O37"/>
    <mergeCell ref="P36:P37"/>
    <mergeCell ref="F45:G46"/>
    <mergeCell ref="C47:H47"/>
    <mergeCell ref="I47:N47"/>
    <mergeCell ref="O47:O48"/>
    <mergeCell ref="P47:P48"/>
    <mergeCell ref="F58:G59"/>
    <mergeCell ref="C99:H99"/>
    <mergeCell ref="I99:N99"/>
    <mergeCell ref="O99:O100"/>
    <mergeCell ref="P99:P100"/>
    <mergeCell ref="F71:G72"/>
    <mergeCell ref="C73:H73"/>
    <mergeCell ref="I73:N73"/>
    <mergeCell ref="O73:O74"/>
    <mergeCell ref="P73:P74"/>
    <mergeCell ref="F84:G85"/>
    <mergeCell ref="C86:H86"/>
    <mergeCell ref="I86:N86"/>
    <mergeCell ref="O86:O87"/>
    <mergeCell ref="P86:P87"/>
    <mergeCell ref="F97:G98"/>
    <mergeCell ref="F110:G111"/>
    <mergeCell ref="C112:H112"/>
    <mergeCell ref="I112:N112"/>
    <mergeCell ref="O112:O113"/>
    <mergeCell ref="P112:P11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4FC8-D3B5-4382-BB1C-F7E5E85DB4CF}">
  <sheetPr>
    <tabColor theme="0" tint="-0.499984740745262"/>
  </sheetPr>
  <dimension ref="A1:J116"/>
  <sheetViews>
    <sheetView showGridLines="0" workbookViewId="0">
      <selection activeCell="O38" sqref="O38"/>
    </sheetView>
  </sheetViews>
  <sheetFormatPr defaultRowHeight="14.4" x14ac:dyDescent="0.3"/>
  <cols>
    <col min="1" max="1" width="2.5546875" customWidth="1"/>
    <col min="3" max="3" width="11.88671875" customWidth="1"/>
    <col min="4" max="4" width="11.33203125" customWidth="1"/>
    <col min="5" max="6" width="11.21875" customWidth="1"/>
    <col min="7" max="7" width="11.44140625" customWidth="1"/>
    <col min="8" max="8" width="11.21875" customWidth="1"/>
    <col min="9" max="9" width="11" customWidth="1"/>
    <col min="10" max="10" width="11.21875" customWidth="1"/>
  </cols>
  <sheetData>
    <row r="1" spans="2:10" ht="15" thickBot="1" x14ac:dyDescent="0.35"/>
    <row r="2" spans="2:10" ht="14.4" customHeight="1" x14ac:dyDescent="0.3">
      <c r="B2" s="240" t="s">
        <v>111</v>
      </c>
      <c r="C2" s="241"/>
      <c r="D2" s="241"/>
      <c r="E2" s="241"/>
      <c r="F2" s="241"/>
      <c r="G2" s="241"/>
      <c r="H2" s="241"/>
      <c r="I2" s="241"/>
      <c r="J2" s="242"/>
    </row>
    <row r="3" spans="2:10" ht="21.6" customHeight="1" thickBot="1" x14ac:dyDescent="0.35">
      <c r="B3" s="243"/>
      <c r="C3" s="244"/>
      <c r="D3" s="244"/>
      <c r="E3" s="244"/>
      <c r="F3" s="244"/>
      <c r="G3" s="244"/>
      <c r="H3" s="244"/>
      <c r="I3" s="244"/>
      <c r="J3" s="245"/>
    </row>
    <row r="7" spans="2:10" x14ac:dyDescent="0.3">
      <c r="B7" s="153" t="str">
        <f>'Tariffs Inputs'!D33</f>
        <v>TOU Tariff 1</v>
      </c>
      <c r="C7" s="153"/>
      <c r="D7" s="153"/>
      <c r="E7" s="153"/>
      <c r="F7" s="153"/>
      <c r="G7" s="153"/>
      <c r="H7" s="153"/>
      <c r="I7" s="153"/>
      <c r="J7" s="153"/>
    </row>
    <row r="8" spans="2:10" ht="43.2" customHeight="1" x14ac:dyDescent="0.3">
      <c r="B8" s="69" t="s">
        <v>1</v>
      </c>
      <c r="C8" s="53" t="str">
        <f>'Tariffs Inputs'!$F$4&amp;" low season total charge (R)"</f>
        <v>Year 1 low season total charge (R)</v>
      </c>
      <c r="D8" s="65" t="str">
        <f>'Tariffs Inputs'!$F$4&amp;" high season total charge (R)"</f>
        <v>Year 1 high season total charge (R)</v>
      </c>
      <c r="E8" s="53" t="str">
        <f>'Tariffs Inputs'!$F$4&amp;" total charge (R)"</f>
        <v>Year 1 total charge (R)</v>
      </c>
      <c r="F8" s="53" t="str">
        <f>'Tariffs Inputs'!$F$6&amp;" low season total charge (R)"</f>
        <v>Year 2 low season total charge (R)</v>
      </c>
      <c r="G8" s="53" t="str">
        <f>'Tariffs Inputs'!$F$6&amp;" high season total charge (R)"</f>
        <v>Year 2 high season total charge (R)</v>
      </c>
      <c r="H8" s="53" t="str">
        <f>'Tariffs Inputs'!$F$6&amp;" total charge (R)"</f>
        <v>Year 2 total charge (R)</v>
      </c>
      <c r="I8" s="53" t="s">
        <v>9</v>
      </c>
      <c r="J8" s="53" t="s">
        <v>10</v>
      </c>
    </row>
    <row r="9" spans="2:10" x14ac:dyDescent="0.3">
      <c r="B9" s="71">
        <v>600</v>
      </c>
      <c r="C9" s="9">
        <f>'TOU Tariff Comparison LS'!H5</f>
        <v>672</v>
      </c>
      <c r="D9" s="24">
        <f>'TOU Tariff Comparison HS'!H5</f>
        <v>1002</v>
      </c>
      <c r="E9" s="11">
        <f>SUM(C9:D9)</f>
        <v>1674</v>
      </c>
      <c r="F9" s="9">
        <f>'TOU Tariff Comparison LS'!N5</f>
        <v>861</v>
      </c>
      <c r="G9" s="9">
        <f>'TOU Tariff Comparison HS'!N5</f>
        <v>1142</v>
      </c>
      <c r="H9" s="30">
        <f>SUM(F9:G9)</f>
        <v>2003</v>
      </c>
      <c r="I9" s="140">
        <f>H9-E9</f>
        <v>329</v>
      </c>
      <c r="J9" s="142">
        <f>I9/E9</f>
        <v>0.1965352449223417</v>
      </c>
    </row>
    <row r="10" spans="2:10" x14ac:dyDescent="0.3">
      <c r="B10" s="72">
        <v>700</v>
      </c>
      <c r="C10" s="9">
        <f>'TOU Tariff Comparison LS'!H6</f>
        <v>783.5</v>
      </c>
      <c r="D10" s="24">
        <f>'TOU Tariff Comparison HS'!H6</f>
        <v>1169</v>
      </c>
      <c r="E10" s="11">
        <f t="shared" ref="E10:E13" si="0">SUM(C10:D10)</f>
        <v>1952.5</v>
      </c>
      <c r="F10" s="9">
        <f>'TOU Tariff Comparison LS'!N6</f>
        <v>1004.5</v>
      </c>
      <c r="G10" s="9">
        <f>'TOU Tariff Comparison HS'!N6</f>
        <v>1332</v>
      </c>
      <c r="H10" s="30">
        <f t="shared" ref="H10:H13" si="1">SUM(F10:G10)</f>
        <v>2336.5</v>
      </c>
      <c r="I10" s="140">
        <f t="shared" ref="I10:I13" si="2">H10-E10</f>
        <v>384</v>
      </c>
      <c r="J10" s="142">
        <f t="shared" ref="J10:J13" si="3">I10/E10</f>
        <v>0.19667093469910371</v>
      </c>
    </row>
    <row r="11" spans="2:10" x14ac:dyDescent="0.3">
      <c r="B11" s="71">
        <v>800</v>
      </c>
      <c r="C11" s="9">
        <f>'TOU Tariff Comparison LS'!H7</f>
        <v>895</v>
      </c>
      <c r="D11" s="24">
        <f>'TOU Tariff Comparison HS'!H7</f>
        <v>1336</v>
      </c>
      <c r="E11" s="11">
        <f t="shared" si="0"/>
        <v>2231</v>
      </c>
      <c r="F11" s="9">
        <f>'TOU Tariff Comparison LS'!N7</f>
        <v>1148</v>
      </c>
      <c r="G11" s="9">
        <f>'TOU Tariff Comparison HS'!N7</f>
        <v>1522</v>
      </c>
      <c r="H11" s="30">
        <f t="shared" si="1"/>
        <v>2670</v>
      </c>
      <c r="I11" s="140">
        <f t="shared" si="2"/>
        <v>439</v>
      </c>
      <c r="J11" s="142">
        <f t="shared" si="3"/>
        <v>0.19677274764679517</v>
      </c>
    </row>
    <row r="12" spans="2:10" x14ac:dyDescent="0.3">
      <c r="B12" s="72">
        <v>900</v>
      </c>
      <c r="C12" s="9">
        <f>'TOU Tariff Comparison LS'!H8</f>
        <v>1006.5</v>
      </c>
      <c r="D12" s="24">
        <f>'TOU Tariff Comparison HS'!H8</f>
        <v>1503</v>
      </c>
      <c r="E12" s="11">
        <f t="shared" si="0"/>
        <v>2509.5</v>
      </c>
      <c r="F12" s="9">
        <f>'TOU Tariff Comparison LS'!N8</f>
        <v>1291.5</v>
      </c>
      <c r="G12" s="9">
        <f>'TOU Tariff Comparison HS'!N8</f>
        <v>1712</v>
      </c>
      <c r="H12" s="30">
        <f t="shared" si="1"/>
        <v>3003.5</v>
      </c>
      <c r="I12" s="140">
        <f t="shared" si="2"/>
        <v>494</v>
      </c>
      <c r="J12" s="142">
        <f t="shared" si="3"/>
        <v>0.19685196254233911</v>
      </c>
    </row>
    <row r="13" spans="2:10" x14ac:dyDescent="0.3">
      <c r="B13" s="71">
        <v>1000</v>
      </c>
      <c r="C13" s="9">
        <f>'TOU Tariff Comparison LS'!H9</f>
        <v>1118</v>
      </c>
      <c r="D13" s="24">
        <f>'TOU Tariff Comparison HS'!H9</f>
        <v>1670</v>
      </c>
      <c r="E13" s="11">
        <f t="shared" si="0"/>
        <v>2788</v>
      </c>
      <c r="F13" s="9">
        <f>'TOU Tariff Comparison LS'!N9</f>
        <v>1435</v>
      </c>
      <c r="G13" s="9">
        <f>'TOU Tariff Comparison HS'!N9</f>
        <v>1902</v>
      </c>
      <c r="H13" s="30">
        <f t="shared" si="1"/>
        <v>3337</v>
      </c>
      <c r="I13" s="140">
        <f t="shared" si="2"/>
        <v>549</v>
      </c>
      <c r="J13" s="142">
        <f t="shared" si="3"/>
        <v>0.19691535150645625</v>
      </c>
    </row>
    <row r="14" spans="2:10" x14ac:dyDescent="0.3">
      <c r="B14" s="1"/>
      <c r="C14" s="2"/>
      <c r="D14" s="2"/>
      <c r="E14" s="2"/>
      <c r="F14" s="2"/>
      <c r="G14" s="2"/>
      <c r="H14" s="2"/>
      <c r="I14" s="2"/>
      <c r="J14" s="2"/>
    </row>
    <row r="17" spans="2:10" x14ac:dyDescent="0.3">
      <c r="B17" s="153" t="str">
        <f>'Tariffs Inputs'!D34</f>
        <v>TOU Tariff 2</v>
      </c>
      <c r="C17" s="153"/>
      <c r="D17" s="153"/>
      <c r="E17" s="153"/>
      <c r="F17" s="153"/>
      <c r="G17" s="153"/>
      <c r="H17" s="153"/>
      <c r="I17" s="153"/>
      <c r="J17" s="153"/>
    </row>
    <row r="18" spans="2:10" ht="43.2" x14ac:dyDescent="0.3">
      <c r="B18" s="69" t="s">
        <v>1</v>
      </c>
      <c r="C18" s="53" t="str">
        <f>'Tariffs Inputs'!$F$4&amp;" low season total charge (R)"</f>
        <v>Year 1 low season total charge (R)</v>
      </c>
      <c r="D18" s="65" t="str">
        <f>'Tariffs Inputs'!$F$4&amp;" high season total charge (R)"</f>
        <v>Year 1 high season total charge (R)</v>
      </c>
      <c r="E18" s="53" t="str">
        <f>'Tariffs Inputs'!$F$4&amp;" total charge (R)"</f>
        <v>Year 1 total charge (R)</v>
      </c>
      <c r="F18" s="53" t="str">
        <f>'Tariffs Inputs'!$F$6&amp;" low season total charge (R)"</f>
        <v>Year 2 low season total charge (R)</v>
      </c>
      <c r="G18" s="53" t="str">
        <f>'Tariffs Inputs'!$F$6&amp;" high season total charge (R)"</f>
        <v>Year 2 high season total charge (R)</v>
      </c>
      <c r="H18" s="53" t="str">
        <f>'Tariffs Inputs'!$F$6&amp;" total charge (R)"</f>
        <v>Year 2 total charge (R)</v>
      </c>
      <c r="I18" s="53" t="s">
        <v>9</v>
      </c>
      <c r="J18" s="53" t="s">
        <v>10</v>
      </c>
    </row>
    <row r="19" spans="2:10" x14ac:dyDescent="0.3">
      <c r="B19" s="71">
        <v>600</v>
      </c>
      <c r="C19" s="9">
        <f>'TOU Tariff Comparison LS'!H16</f>
        <v>660.5</v>
      </c>
      <c r="D19" s="24">
        <f>'TOU Tariff Comparison HS'!H16</f>
        <v>954</v>
      </c>
      <c r="E19" s="11">
        <f>SUM(C19:D19)</f>
        <v>1614.5</v>
      </c>
      <c r="F19" s="9">
        <f>'TOU Tariff Comparison LS'!N16</f>
        <v>822.48</v>
      </c>
      <c r="G19" s="9">
        <f>'TOU Tariff Comparison HS'!N16</f>
        <v>1055</v>
      </c>
      <c r="H19" s="30">
        <f>SUM(F19:G19)</f>
        <v>1877.48</v>
      </c>
      <c r="I19" s="140">
        <f>H19-E19</f>
        <v>262.98</v>
      </c>
      <c r="J19" s="142">
        <f>I19/E19</f>
        <v>0.16288634252090431</v>
      </c>
    </row>
    <row r="20" spans="2:10" x14ac:dyDescent="0.3">
      <c r="B20" s="72">
        <v>700</v>
      </c>
      <c r="C20" s="9">
        <f>'TOU Tariff Comparison LS'!H17</f>
        <v>770.25</v>
      </c>
      <c r="D20" s="24">
        <f>'TOU Tariff Comparison HS'!H17</f>
        <v>1113</v>
      </c>
      <c r="E20" s="11">
        <f t="shared" ref="E20:E23" si="4">SUM(C20:D20)</f>
        <v>1883.25</v>
      </c>
      <c r="F20" s="9">
        <f>'TOU Tariff Comparison LS'!N17</f>
        <v>959.56</v>
      </c>
      <c r="G20" s="9">
        <f>'TOU Tariff Comparison HS'!N17</f>
        <v>1230.5</v>
      </c>
      <c r="H20" s="30">
        <f t="shared" ref="H20:H23" si="5">SUM(F20:G20)</f>
        <v>2190.06</v>
      </c>
      <c r="I20" s="140">
        <f t="shared" ref="I20:I23" si="6">H20-E20</f>
        <v>306.80999999999995</v>
      </c>
      <c r="J20" s="142">
        <f t="shared" ref="J20:J23" si="7">I20/E20</f>
        <v>0.16291517323775384</v>
      </c>
    </row>
    <row r="21" spans="2:10" x14ac:dyDescent="0.3">
      <c r="B21" s="71">
        <v>800</v>
      </c>
      <c r="C21" s="9">
        <f>'TOU Tariff Comparison LS'!H18</f>
        <v>880</v>
      </c>
      <c r="D21" s="24">
        <f>'TOU Tariff Comparison HS'!H18</f>
        <v>1272</v>
      </c>
      <c r="E21" s="11">
        <f t="shared" si="4"/>
        <v>2152</v>
      </c>
      <c r="F21" s="9">
        <f>'TOU Tariff Comparison LS'!N18</f>
        <v>1096.6399999999999</v>
      </c>
      <c r="G21" s="9">
        <f>'TOU Tariff Comparison HS'!N18</f>
        <v>1406</v>
      </c>
      <c r="H21" s="30">
        <f t="shared" si="5"/>
        <v>2502.64</v>
      </c>
      <c r="I21" s="140">
        <f t="shared" si="6"/>
        <v>350.63999999999987</v>
      </c>
      <c r="J21" s="142">
        <f t="shared" si="7"/>
        <v>0.16293680297397764</v>
      </c>
    </row>
    <row r="22" spans="2:10" x14ac:dyDescent="0.3">
      <c r="B22" s="72">
        <v>900</v>
      </c>
      <c r="C22" s="9">
        <f>'TOU Tariff Comparison LS'!H19</f>
        <v>989.75</v>
      </c>
      <c r="D22" s="24">
        <f>'TOU Tariff Comparison HS'!H19</f>
        <v>1431</v>
      </c>
      <c r="E22" s="11">
        <f t="shared" si="4"/>
        <v>2420.75</v>
      </c>
      <c r="F22" s="9">
        <f>'TOU Tariff Comparison LS'!N19</f>
        <v>1233.72</v>
      </c>
      <c r="G22" s="9">
        <f>'TOU Tariff Comparison HS'!N19</f>
        <v>1581.5</v>
      </c>
      <c r="H22" s="30">
        <f t="shared" si="5"/>
        <v>2815.2200000000003</v>
      </c>
      <c r="I22" s="140">
        <f t="shared" si="6"/>
        <v>394.47000000000025</v>
      </c>
      <c r="J22" s="142">
        <f t="shared" si="7"/>
        <v>0.1629536300733245</v>
      </c>
    </row>
    <row r="23" spans="2:10" x14ac:dyDescent="0.3">
      <c r="B23" s="71">
        <v>1000</v>
      </c>
      <c r="C23" s="9">
        <f>'TOU Tariff Comparison LS'!H20</f>
        <v>1099.5</v>
      </c>
      <c r="D23" s="24">
        <f>'TOU Tariff Comparison HS'!H20</f>
        <v>1590</v>
      </c>
      <c r="E23" s="11">
        <f t="shared" si="4"/>
        <v>2689.5</v>
      </c>
      <c r="F23" s="9">
        <f>'TOU Tariff Comparison LS'!N20</f>
        <v>1370.8</v>
      </c>
      <c r="G23" s="9">
        <f>'TOU Tariff Comparison HS'!N20</f>
        <v>1757</v>
      </c>
      <c r="H23" s="30">
        <f t="shared" si="5"/>
        <v>3127.8</v>
      </c>
      <c r="I23" s="140">
        <f t="shared" si="6"/>
        <v>438.30000000000018</v>
      </c>
      <c r="J23" s="142">
        <f t="shared" si="7"/>
        <v>0.16296709425543787</v>
      </c>
    </row>
    <row r="24" spans="2:10" x14ac:dyDescent="0.3">
      <c r="B24" s="1"/>
      <c r="C24" s="2"/>
      <c r="D24" s="2"/>
      <c r="E24" s="2"/>
      <c r="F24" s="2"/>
      <c r="G24" s="2"/>
      <c r="H24" s="2"/>
      <c r="I24" s="2"/>
      <c r="J24" s="2"/>
    </row>
    <row r="27" spans="2:10" x14ac:dyDescent="0.3">
      <c r="B27" s="153" t="str">
        <f>'Tariffs Inputs'!D35</f>
        <v>TOU Tariff 3</v>
      </c>
      <c r="C27" s="153"/>
      <c r="D27" s="153"/>
      <c r="E27" s="153"/>
      <c r="F27" s="153"/>
      <c r="G27" s="153"/>
      <c r="H27" s="153"/>
      <c r="I27" s="153"/>
      <c r="J27" s="153"/>
    </row>
    <row r="28" spans="2:10" ht="57.6" x14ac:dyDescent="0.3">
      <c r="B28" s="69" t="s">
        <v>1</v>
      </c>
      <c r="C28" s="53" t="str">
        <f>'Tariffs Inputs'!$F$4&amp;" low season total charge (R)"</f>
        <v>Year 1 low season total charge (R)</v>
      </c>
      <c r="D28" s="65" t="str">
        <f>'Tariffs Inputs'!$F$4&amp;" high season total charge (R)"</f>
        <v>Year 1 high season total charge (R)</v>
      </c>
      <c r="E28" s="53" t="str">
        <f>'Tariffs Inputs'!$F$4&amp;" total charge (R)"</f>
        <v>Year 1 total charge (R)</v>
      </c>
      <c r="F28" s="53" t="str">
        <f>'Tariffs Inputs'!$F$6&amp;" low season total charge (R)"</f>
        <v>Year 2 low season total charge (R)</v>
      </c>
      <c r="G28" s="53" t="str">
        <f>'Tariffs Inputs'!$F$6&amp;" high season total charge (R)"</f>
        <v>Year 2 high season total charge (R)</v>
      </c>
      <c r="H28" s="53" t="str">
        <f>'Tariffs Inputs'!$F$6&amp;" total charge (R)"</f>
        <v>Year 2 total charge (R)</v>
      </c>
      <c r="I28" s="53" t="s">
        <v>9</v>
      </c>
      <c r="J28" s="53" t="s">
        <v>10</v>
      </c>
    </row>
    <row r="29" spans="2:10" x14ac:dyDescent="0.3">
      <c r="B29" s="71">
        <v>600</v>
      </c>
      <c r="C29" s="9">
        <f>'TOU Tariff Comparison LS'!H27</f>
        <v>843</v>
      </c>
      <c r="D29" s="24">
        <f>'TOU Tariff Comparison HS'!H27</f>
        <v>1092</v>
      </c>
      <c r="E29" s="11">
        <f>SUM(C29:D29)</f>
        <v>1935</v>
      </c>
      <c r="F29" s="9">
        <f>'TOU Tariff Comparison LS'!N27</f>
        <v>670.8</v>
      </c>
      <c r="G29" s="9">
        <f>'TOU Tariff Comparison HS'!N27</f>
        <v>1304</v>
      </c>
      <c r="H29" s="30">
        <f>SUM(F29:G29)</f>
        <v>1974.8</v>
      </c>
      <c r="I29" s="140">
        <f>H29-E29</f>
        <v>39.799999999999955</v>
      </c>
      <c r="J29" s="142">
        <f>I29/E29</f>
        <v>2.0568475452196359E-2</v>
      </c>
    </row>
    <row r="30" spans="2:10" x14ac:dyDescent="0.3">
      <c r="B30" s="72">
        <v>700</v>
      </c>
      <c r="C30" s="9">
        <f>'TOU Tariff Comparison LS'!H28</f>
        <v>983.5</v>
      </c>
      <c r="D30" s="24">
        <f>'TOU Tariff Comparison HS'!H28</f>
        <v>1274</v>
      </c>
      <c r="E30" s="11">
        <f t="shared" ref="E30:E33" si="8">SUM(C30:D30)</f>
        <v>2257.5</v>
      </c>
      <c r="F30" s="9">
        <f>'TOU Tariff Comparison LS'!N28</f>
        <v>782.59999999999991</v>
      </c>
      <c r="G30" s="9">
        <f>'TOU Tariff Comparison HS'!N28</f>
        <v>1521</v>
      </c>
      <c r="H30" s="30">
        <f t="shared" ref="H30:H33" si="9">SUM(F30:G30)</f>
        <v>2303.6</v>
      </c>
      <c r="I30" s="140">
        <f t="shared" ref="I30:I33" si="10">H30-E30</f>
        <v>46.099999999999909</v>
      </c>
      <c r="J30" s="142">
        <f t="shared" ref="J30:J33" si="11">I30/E30</f>
        <v>2.0420819490586894E-2</v>
      </c>
    </row>
    <row r="31" spans="2:10" x14ac:dyDescent="0.3">
      <c r="B31" s="71">
        <v>800</v>
      </c>
      <c r="C31" s="9">
        <f>'TOU Tariff Comparison LS'!H29</f>
        <v>1124</v>
      </c>
      <c r="D31" s="24">
        <f>'TOU Tariff Comparison HS'!H29</f>
        <v>1456</v>
      </c>
      <c r="E31" s="11">
        <f t="shared" si="8"/>
        <v>2580</v>
      </c>
      <c r="F31" s="9">
        <f>'TOU Tariff Comparison LS'!N29</f>
        <v>894.4</v>
      </c>
      <c r="G31" s="9">
        <f>'TOU Tariff Comparison HS'!N29</f>
        <v>1738</v>
      </c>
      <c r="H31" s="30">
        <f t="shared" si="9"/>
        <v>2632.4</v>
      </c>
      <c r="I31" s="140">
        <f t="shared" si="10"/>
        <v>52.400000000000091</v>
      </c>
      <c r="J31" s="142">
        <f t="shared" si="11"/>
        <v>2.0310077519379879E-2</v>
      </c>
    </row>
    <row r="32" spans="2:10" x14ac:dyDescent="0.3">
      <c r="B32" s="72">
        <v>900</v>
      </c>
      <c r="C32" s="9">
        <f>'TOU Tariff Comparison LS'!H30</f>
        <v>1264.5</v>
      </c>
      <c r="D32" s="24">
        <f>'TOU Tariff Comparison HS'!H30</f>
        <v>1638</v>
      </c>
      <c r="E32" s="11">
        <f t="shared" si="8"/>
        <v>2902.5</v>
      </c>
      <c r="F32" s="9">
        <f>'TOU Tariff Comparison LS'!N30</f>
        <v>1006.2</v>
      </c>
      <c r="G32" s="9">
        <f>'TOU Tariff Comparison HS'!N30</f>
        <v>1955</v>
      </c>
      <c r="H32" s="30">
        <f t="shared" si="9"/>
        <v>2961.2</v>
      </c>
      <c r="I32" s="140">
        <f t="shared" si="10"/>
        <v>58.699999999999818</v>
      </c>
      <c r="J32" s="142">
        <f t="shared" si="11"/>
        <v>2.0223944875107602E-2</v>
      </c>
    </row>
    <row r="33" spans="1:10" x14ac:dyDescent="0.3">
      <c r="B33" s="71">
        <v>1000</v>
      </c>
      <c r="C33" s="9">
        <f>'TOU Tariff Comparison LS'!H31</f>
        <v>1405</v>
      </c>
      <c r="D33" s="24">
        <f>'TOU Tariff Comparison HS'!H31</f>
        <v>1820</v>
      </c>
      <c r="E33" s="11">
        <f t="shared" si="8"/>
        <v>3225</v>
      </c>
      <c r="F33" s="9">
        <f>'TOU Tariff Comparison LS'!N31</f>
        <v>1118</v>
      </c>
      <c r="G33" s="9">
        <f>'TOU Tariff Comparison HS'!N31</f>
        <v>2172</v>
      </c>
      <c r="H33" s="30">
        <f t="shared" si="9"/>
        <v>3290</v>
      </c>
      <c r="I33" s="140">
        <f t="shared" si="10"/>
        <v>65</v>
      </c>
      <c r="J33" s="142">
        <f t="shared" si="11"/>
        <v>2.0155038759689922E-2</v>
      </c>
    </row>
    <row r="34" spans="1:10" x14ac:dyDescent="0.3">
      <c r="B34" s="1"/>
      <c r="C34" s="2"/>
      <c r="D34" s="2"/>
      <c r="E34" s="2"/>
      <c r="F34" s="2"/>
      <c r="G34" s="2"/>
      <c r="H34" s="2"/>
      <c r="I34" s="2"/>
      <c r="J34" s="2"/>
    </row>
    <row r="37" spans="1:10" x14ac:dyDescent="0.3">
      <c r="B37" s="153" t="str">
        <f>'Tariffs Inputs'!D36</f>
        <v>TOU Tariff 4</v>
      </c>
      <c r="C37" s="153"/>
      <c r="D37" s="153"/>
      <c r="E37" s="153"/>
      <c r="F37" s="153"/>
      <c r="G37" s="153"/>
      <c r="H37" s="153"/>
      <c r="I37" s="153"/>
      <c r="J37" s="153"/>
    </row>
    <row r="38" spans="1:10" ht="57.6" x14ac:dyDescent="0.3">
      <c r="B38" s="69" t="s">
        <v>1</v>
      </c>
      <c r="C38" s="53" t="str">
        <f>'Tariffs Inputs'!$F$4&amp;" low season total charge (R)"</f>
        <v>Year 1 low season total charge (R)</v>
      </c>
      <c r="D38" s="65" t="str">
        <f>'Tariffs Inputs'!$F$4&amp;" high season total charge (R)"</f>
        <v>Year 1 high season total charge (R)</v>
      </c>
      <c r="E38" s="53" t="str">
        <f>'Tariffs Inputs'!$F$4&amp;" total charge (R)"</f>
        <v>Year 1 total charge (R)</v>
      </c>
      <c r="F38" s="53" t="str">
        <f>'Tariffs Inputs'!$F$6&amp;" low season total charge (R)"</f>
        <v>Year 2 low season total charge (R)</v>
      </c>
      <c r="G38" s="53" t="str">
        <f>'Tariffs Inputs'!$F$6&amp;" high season total charge (R)"</f>
        <v>Year 2 high season total charge (R)</v>
      </c>
      <c r="H38" s="53" t="str">
        <f>'Tariffs Inputs'!$F$6&amp;" total charge (R)"</f>
        <v>Year 2 total charge (R)</v>
      </c>
      <c r="I38" s="53" t="s">
        <v>9</v>
      </c>
      <c r="J38" s="53" t="s">
        <v>10</v>
      </c>
    </row>
    <row r="39" spans="1:10" x14ac:dyDescent="0.3">
      <c r="B39" s="71">
        <v>600</v>
      </c>
      <c r="C39" s="9">
        <f>'TOU Tariff Comparison LS'!H38</f>
        <v>722.4</v>
      </c>
      <c r="D39" s="24">
        <f>'TOU Tariff Comparison HS'!H38</f>
        <v>900</v>
      </c>
      <c r="E39" s="11">
        <f>SUM(C39:D39)</f>
        <v>1622.4</v>
      </c>
      <c r="F39" s="9">
        <f>'TOU Tariff Comparison LS'!N38</f>
        <v>904.8</v>
      </c>
      <c r="G39" s="9">
        <f>'TOU Tariff Comparison HS'!N38</f>
        <v>998</v>
      </c>
      <c r="H39" s="30">
        <f>SUM(F39:G39)</f>
        <v>1902.8</v>
      </c>
      <c r="I39" s="140">
        <f>H39-E39</f>
        <v>280.39999999999986</v>
      </c>
      <c r="J39" s="142">
        <f>I39/E39</f>
        <v>0.17283037475345159</v>
      </c>
    </row>
    <row r="40" spans="1:10" x14ac:dyDescent="0.3">
      <c r="B40" s="72">
        <v>700</v>
      </c>
      <c r="C40" s="9">
        <f>'TOU Tariff Comparison LS'!H39</f>
        <v>842.8</v>
      </c>
      <c r="D40" s="24">
        <f>'TOU Tariff Comparison HS'!H39</f>
        <v>1050</v>
      </c>
      <c r="E40" s="11">
        <f t="shared" ref="E40:E43" si="12">SUM(C40:D40)</f>
        <v>1892.8</v>
      </c>
      <c r="F40" s="9">
        <f>'TOU Tariff Comparison LS'!N39</f>
        <v>1055.5999999999999</v>
      </c>
      <c r="G40" s="9">
        <f>'TOU Tariff Comparison HS'!N39</f>
        <v>1164</v>
      </c>
      <c r="H40" s="30">
        <f t="shared" ref="H40:H43" si="13">SUM(F40:G40)</f>
        <v>2219.6</v>
      </c>
      <c r="I40" s="140">
        <f t="shared" ref="I40:I43" si="14">H40-E40</f>
        <v>326.79999999999995</v>
      </c>
      <c r="J40" s="142">
        <f t="shared" ref="J40:J43" si="15">I40/E40</f>
        <v>0.17265426880811494</v>
      </c>
    </row>
    <row r="41" spans="1:10" x14ac:dyDescent="0.3">
      <c r="B41" s="71">
        <v>800</v>
      </c>
      <c r="C41" s="9">
        <f>'TOU Tariff Comparison LS'!H40</f>
        <v>963.2</v>
      </c>
      <c r="D41" s="24">
        <f>'TOU Tariff Comparison HS'!H40</f>
        <v>1200</v>
      </c>
      <c r="E41" s="11">
        <f t="shared" si="12"/>
        <v>2163.1999999999998</v>
      </c>
      <c r="F41" s="9">
        <f>'TOU Tariff Comparison LS'!N40</f>
        <v>1206.4000000000001</v>
      </c>
      <c r="G41" s="9">
        <f>'TOU Tariff Comparison HS'!N40</f>
        <v>1330</v>
      </c>
      <c r="H41" s="30">
        <f t="shared" si="13"/>
        <v>2536.4</v>
      </c>
      <c r="I41" s="140">
        <f t="shared" si="14"/>
        <v>373.20000000000027</v>
      </c>
      <c r="J41" s="142">
        <f t="shared" si="15"/>
        <v>0.17252218934911256</v>
      </c>
    </row>
    <row r="42" spans="1:10" x14ac:dyDescent="0.3">
      <c r="B42" s="72">
        <v>900</v>
      </c>
      <c r="C42" s="9">
        <f>'TOU Tariff Comparison LS'!H41</f>
        <v>1083.5999999999999</v>
      </c>
      <c r="D42" s="24">
        <f>'TOU Tariff Comparison HS'!H41</f>
        <v>1350</v>
      </c>
      <c r="E42" s="11">
        <f t="shared" si="12"/>
        <v>2433.6</v>
      </c>
      <c r="F42" s="9">
        <f>'TOU Tariff Comparison LS'!N41</f>
        <v>1357.2</v>
      </c>
      <c r="G42" s="9">
        <f>'TOU Tariff Comparison HS'!N41</f>
        <v>1496</v>
      </c>
      <c r="H42" s="30">
        <f t="shared" si="13"/>
        <v>2853.2</v>
      </c>
      <c r="I42" s="140">
        <f t="shared" si="14"/>
        <v>419.59999999999991</v>
      </c>
      <c r="J42" s="142">
        <f t="shared" si="15"/>
        <v>0.1724194608809993</v>
      </c>
    </row>
    <row r="43" spans="1:10" x14ac:dyDescent="0.3">
      <c r="B43" s="71">
        <v>1000</v>
      </c>
      <c r="C43" s="9">
        <f>'TOU Tariff Comparison LS'!H42</f>
        <v>1204</v>
      </c>
      <c r="D43" s="24">
        <f>'TOU Tariff Comparison HS'!H42</f>
        <v>1500</v>
      </c>
      <c r="E43" s="11">
        <f t="shared" si="12"/>
        <v>2704</v>
      </c>
      <c r="F43" s="9">
        <f>'TOU Tariff Comparison LS'!N42</f>
        <v>1508</v>
      </c>
      <c r="G43" s="9">
        <f>'TOU Tariff Comparison HS'!N42</f>
        <v>1662</v>
      </c>
      <c r="H43" s="30">
        <f t="shared" si="13"/>
        <v>3170</v>
      </c>
      <c r="I43" s="140">
        <f t="shared" si="14"/>
        <v>466</v>
      </c>
      <c r="J43" s="142">
        <f t="shared" si="15"/>
        <v>0.17233727810650887</v>
      </c>
    </row>
    <row r="44" spans="1:10" x14ac:dyDescent="0.3">
      <c r="B44" s="1"/>
      <c r="C44" s="2"/>
      <c r="D44" s="2"/>
      <c r="E44" s="2"/>
      <c r="F44" s="2"/>
      <c r="G44" s="2"/>
      <c r="H44" s="2"/>
      <c r="I44" s="2"/>
      <c r="J44" s="2"/>
    </row>
    <row r="47" spans="1:10" x14ac:dyDescent="0.3">
      <c r="A47" s="7"/>
      <c r="B47" s="153" t="str">
        <f>'Tariffs Inputs'!D37</f>
        <v>TOU Tariff 5</v>
      </c>
      <c r="C47" s="153"/>
      <c r="D47" s="153"/>
      <c r="E47" s="153"/>
      <c r="F47" s="153"/>
      <c r="G47" s="153"/>
      <c r="H47" s="153"/>
      <c r="I47" s="153"/>
      <c r="J47" s="154"/>
    </row>
    <row r="48" spans="1:10" ht="57.6" x14ac:dyDescent="0.3">
      <c r="A48" s="7"/>
      <c r="B48" s="69" t="s">
        <v>1</v>
      </c>
      <c r="C48" s="53" t="str">
        <f>'Tariffs Inputs'!$F$4&amp;" low season total charge (R)"</f>
        <v>Year 1 low season total charge (R)</v>
      </c>
      <c r="D48" s="65" t="str">
        <f>'Tariffs Inputs'!$F$4&amp;" high season total charge (R)"</f>
        <v>Year 1 high season total charge (R)</v>
      </c>
      <c r="E48" s="53" t="str">
        <f>'Tariffs Inputs'!$F$4&amp;" total charge (R)"</f>
        <v>Year 1 total charge (R)</v>
      </c>
      <c r="F48" s="53" t="str">
        <f>'Tariffs Inputs'!$F$6&amp;" low season total charge (R)"</f>
        <v>Year 2 low season total charge (R)</v>
      </c>
      <c r="G48" s="53" t="str">
        <f>'Tariffs Inputs'!$F$6&amp;" high season total charge (R)"</f>
        <v>Year 2 high season total charge (R)</v>
      </c>
      <c r="H48" s="53" t="str">
        <f>'Tariffs Inputs'!$F$6&amp;" total charge (R)"</f>
        <v>Year 2 total charge (R)</v>
      </c>
      <c r="I48" s="53" t="s">
        <v>9</v>
      </c>
      <c r="J48" s="53" t="s">
        <v>10</v>
      </c>
    </row>
    <row r="49" spans="1:10" x14ac:dyDescent="0.3">
      <c r="A49" s="7"/>
      <c r="B49" s="71">
        <v>5000</v>
      </c>
      <c r="C49" s="9">
        <f>'TOU Tariff Comparison LS'!H49</f>
        <v>14000</v>
      </c>
      <c r="D49" s="24">
        <f>'TOU Tariff Comparison HS'!H49</f>
        <v>15100</v>
      </c>
      <c r="E49" s="11">
        <f>SUM(C49:D49)</f>
        <v>29100</v>
      </c>
      <c r="F49" s="9">
        <f>'TOU Tariff Comparison LS'!N49</f>
        <v>7460</v>
      </c>
      <c r="G49" s="9">
        <f>'TOU Tariff Comparison HS'!N49</f>
        <v>17122</v>
      </c>
      <c r="H49" s="30">
        <f>SUM(F49:G49)</f>
        <v>24582</v>
      </c>
      <c r="I49" s="140">
        <f>H49-E49</f>
        <v>-4518</v>
      </c>
      <c r="J49" s="143">
        <f>I49/E49</f>
        <v>-0.15525773195876288</v>
      </c>
    </row>
    <row r="50" spans="1:10" x14ac:dyDescent="0.3">
      <c r="A50" s="7"/>
      <c r="B50" s="72">
        <v>8000</v>
      </c>
      <c r="C50" s="9">
        <f>'TOU Tariff Comparison LS'!H50</f>
        <v>22400</v>
      </c>
      <c r="D50" s="24">
        <f>'TOU Tariff Comparison HS'!H50</f>
        <v>24160</v>
      </c>
      <c r="E50" s="11">
        <f t="shared" ref="E50:E55" si="16">SUM(C50:D50)</f>
        <v>46560</v>
      </c>
      <c r="F50" s="9">
        <f>'TOU Tariff Comparison LS'!N50</f>
        <v>11936</v>
      </c>
      <c r="G50" s="9">
        <f>'TOU Tariff Comparison HS'!N50</f>
        <v>27394</v>
      </c>
      <c r="H50" s="30">
        <f t="shared" ref="H50:H55" si="17">SUM(F50:G50)</f>
        <v>39330</v>
      </c>
      <c r="I50" s="140">
        <f t="shared" ref="I50:I55" si="18">H50-E50</f>
        <v>-7230</v>
      </c>
      <c r="J50" s="143">
        <f t="shared" ref="J50:J55" si="19">I50/E50</f>
        <v>-0.15528350515463918</v>
      </c>
    </row>
    <row r="51" spans="1:10" x14ac:dyDescent="0.3">
      <c r="A51" s="7"/>
      <c r="B51" s="71">
        <v>10000</v>
      </c>
      <c r="C51" s="9">
        <f>'TOU Tariff Comparison LS'!H51</f>
        <v>28000</v>
      </c>
      <c r="D51" s="24">
        <f>'TOU Tariff Comparison HS'!H51</f>
        <v>30200</v>
      </c>
      <c r="E51" s="11">
        <f t="shared" si="16"/>
        <v>58200</v>
      </c>
      <c r="F51" s="9">
        <f>'TOU Tariff Comparison LS'!N51</f>
        <v>14920</v>
      </c>
      <c r="G51" s="9">
        <f>'TOU Tariff Comparison HS'!N51</f>
        <v>34242</v>
      </c>
      <c r="H51" s="30">
        <f t="shared" si="17"/>
        <v>49162</v>
      </c>
      <c r="I51" s="140">
        <f t="shared" si="18"/>
        <v>-9038</v>
      </c>
      <c r="J51" s="143">
        <f t="shared" si="19"/>
        <v>-0.15529209621993126</v>
      </c>
    </row>
    <row r="52" spans="1:10" x14ac:dyDescent="0.3">
      <c r="A52" s="7"/>
      <c r="B52" s="72">
        <v>15000</v>
      </c>
      <c r="C52" s="9">
        <f>'TOU Tariff Comparison LS'!H52</f>
        <v>42000</v>
      </c>
      <c r="D52" s="24">
        <f>'TOU Tariff Comparison HS'!H52</f>
        <v>45300</v>
      </c>
      <c r="E52" s="11">
        <f t="shared" si="16"/>
        <v>87300</v>
      </c>
      <c r="F52" s="9">
        <f>'TOU Tariff Comparison LS'!N52</f>
        <v>22380</v>
      </c>
      <c r="G52" s="9">
        <f>'TOU Tariff Comparison HS'!N52</f>
        <v>51362</v>
      </c>
      <c r="H52" s="30">
        <f t="shared" si="17"/>
        <v>73742</v>
      </c>
      <c r="I52" s="140">
        <f t="shared" si="18"/>
        <v>-13558</v>
      </c>
      <c r="J52" s="143">
        <f t="shared" si="19"/>
        <v>-0.15530355097365406</v>
      </c>
    </row>
    <row r="53" spans="1:10" x14ac:dyDescent="0.3">
      <c r="A53" s="7"/>
      <c r="B53" s="73">
        <v>20000</v>
      </c>
      <c r="C53" s="9">
        <f>'TOU Tariff Comparison LS'!H53</f>
        <v>56000</v>
      </c>
      <c r="D53" s="24">
        <f>'TOU Tariff Comparison HS'!H53</f>
        <v>60400</v>
      </c>
      <c r="E53" s="11">
        <f t="shared" si="16"/>
        <v>116400</v>
      </c>
      <c r="F53" s="9">
        <f>'TOU Tariff Comparison LS'!N53</f>
        <v>29840</v>
      </c>
      <c r="G53" s="9">
        <f>'TOU Tariff Comparison HS'!N53</f>
        <v>68482</v>
      </c>
      <c r="H53" s="30">
        <f t="shared" si="17"/>
        <v>98322</v>
      </c>
      <c r="I53" s="140">
        <f t="shared" si="18"/>
        <v>-18078</v>
      </c>
      <c r="J53" s="143">
        <f t="shared" si="19"/>
        <v>-0.15530927835051547</v>
      </c>
    </row>
    <row r="54" spans="1:10" x14ac:dyDescent="0.3">
      <c r="A54" s="7"/>
      <c r="B54" s="73">
        <v>25000</v>
      </c>
      <c r="C54" s="9">
        <f>'TOU Tariff Comparison LS'!H54</f>
        <v>70000</v>
      </c>
      <c r="D54" s="24">
        <f>'TOU Tariff Comparison HS'!H54</f>
        <v>75500</v>
      </c>
      <c r="E54" s="11">
        <f t="shared" si="16"/>
        <v>145500</v>
      </c>
      <c r="F54" s="9">
        <f>'TOU Tariff Comparison LS'!N54</f>
        <v>37300</v>
      </c>
      <c r="G54" s="9">
        <f>'TOU Tariff Comparison HS'!N54</f>
        <v>85602</v>
      </c>
      <c r="H54" s="30">
        <f t="shared" si="17"/>
        <v>122902</v>
      </c>
      <c r="I54" s="140">
        <f t="shared" si="18"/>
        <v>-22598</v>
      </c>
      <c r="J54" s="143">
        <f t="shared" si="19"/>
        <v>-0.1553127147766323</v>
      </c>
    </row>
    <row r="55" spans="1:10" x14ac:dyDescent="0.3">
      <c r="A55" s="7"/>
      <c r="B55" s="124">
        <v>30000</v>
      </c>
      <c r="C55" s="9">
        <f>'TOU Tariff Comparison LS'!H55</f>
        <v>84000</v>
      </c>
      <c r="D55" s="24">
        <f>'TOU Tariff Comparison HS'!H55</f>
        <v>90600</v>
      </c>
      <c r="E55" s="11">
        <f t="shared" si="16"/>
        <v>174600</v>
      </c>
      <c r="F55" s="9">
        <f>'TOU Tariff Comparison LS'!N55</f>
        <v>44760</v>
      </c>
      <c r="G55" s="9">
        <f>'TOU Tariff Comparison HS'!N55</f>
        <v>102722</v>
      </c>
      <c r="H55" s="30">
        <f t="shared" si="17"/>
        <v>147482</v>
      </c>
      <c r="I55" s="140">
        <f t="shared" si="18"/>
        <v>-27118</v>
      </c>
      <c r="J55" s="143">
        <f t="shared" si="19"/>
        <v>-0.15531500572737686</v>
      </c>
    </row>
    <row r="56" spans="1:10" x14ac:dyDescent="0.3">
      <c r="A56" s="7"/>
      <c r="B56" s="1"/>
      <c r="C56" s="2"/>
      <c r="D56" s="2"/>
      <c r="E56" s="2"/>
      <c r="F56" s="2"/>
      <c r="G56" s="2"/>
      <c r="H56" s="2"/>
      <c r="I56" s="2"/>
      <c r="J56" s="141"/>
    </row>
    <row r="59" spans="1:10" x14ac:dyDescent="0.3">
      <c r="B59" s="153" t="str">
        <f>'Tariffs Inputs'!D38</f>
        <v>TOU Tariff 6</v>
      </c>
      <c r="C59" s="153"/>
      <c r="D59" s="153"/>
      <c r="E59" s="153"/>
      <c r="F59" s="153"/>
      <c r="G59" s="153"/>
      <c r="H59" s="153"/>
      <c r="I59" s="153"/>
      <c r="J59" s="154"/>
    </row>
    <row r="60" spans="1:10" ht="57.6" x14ac:dyDescent="0.3">
      <c r="B60" s="69" t="s">
        <v>1</v>
      </c>
      <c r="C60" s="53" t="str">
        <f>'Tariffs Inputs'!$F$4&amp;" low season total charge (R)"</f>
        <v>Year 1 low season total charge (R)</v>
      </c>
      <c r="D60" s="65" t="str">
        <f>'Tariffs Inputs'!$F$4&amp;" high season total charge (R)"</f>
        <v>Year 1 high season total charge (R)</v>
      </c>
      <c r="E60" s="53" t="str">
        <f>'Tariffs Inputs'!$F$4&amp;" total charge (R)"</f>
        <v>Year 1 total charge (R)</v>
      </c>
      <c r="F60" s="53" t="str">
        <f>'Tariffs Inputs'!$F$6&amp;" low season total charge (R)"</f>
        <v>Year 2 low season total charge (R)</v>
      </c>
      <c r="G60" s="53" t="str">
        <f>'Tariffs Inputs'!$F$6&amp;" high season total charge (R)"</f>
        <v>Year 2 high season total charge (R)</v>
      </c>
      <c r="H60" s="53" t="str">
        <f>'Tariffs Inputs'!$F$6&amp;" total charge (R)"</f>
        <v>Year 2 total charge (R)</v>
      </c>
      <c r="I60" s="53" t="s">
        <v>9</v>
      </c>
      <c r="J60" s="53" t="s">
        <v>10</v>
      </c>
    </row>
    <row r="61" spans="1:10" x14ac:dyDescent="0.3">
      <c r="B61" s="71">
        <v>5000</v>
      </c>
      <c r="C61" s="9">
        <f>'TOU Tariff Comparison LS'!H62</f>
        <v>10566</v>
      </c>
      <c r="D61" s="24">
        <f>'TOU Tariff Comparison HS'!H62</f>
        <v>13326.6957947462</v>
      </c>
      <c r="E61" s="11">
        <f>SUM(C61:D61)</f>
        <v>23892.6957947462</v>
      </c>
      <c r="F61" s="9">
        <f>'TOU Tariff Comparison LS'!N62</f>
        <v>9770</v>
      </c>
      <c r="G61" s="9">
        <f>'TOU Tariff Comparison HS'!N62</f>
        <v>16250</v>
      </c>
      <c r="H61" s="30">
        <f>SUM(F61:G61)</f>
        <v>26020</v>
      </c>
      <c r="I61" s="140">
        <f>H61-E61</f>
        <v>2127.3042052538003</v>
      </c>
      <c r="J61" s="143">
        <f>I61/E61</f>
        <v>8.9035754840254416E-2</v>
      </c>
    </row>
    <row r="62" spans="1:10" x14ac:dyDescent="0.3">
      <c r="B62" s="72">
        <v>8000</v>
      </c>
      <c r="C62" s="9">
        <f>'TOU Tariff Comparison LS'!H63</f>
        <v>15615</v>
      </c>
      <c r="D62" s="24">
        <f>'TOU Tariff Comparison HS'!H63</f>
        <v>20106.6957947462</v>
      </c>
      <c r="E62" s="11">
        <f t="shared" ref="E62:E67" si="20">SUM(C62:D62)</f>
        <v>35721.6957947462</v>
      </c>
      <c r="F62" s="9">
        <f>'TOU Tariff Comparison LS'!N63</f>
        <v>14282</v>
      </c>
      <c r="G62" s="9">
        <f>'TOU Tariff Comparison HS'!N63</f>
        <v>24440</v>
      </c>
      <c r="H62" s="30">
        <f t="shared" ref="H62:H67" si="21">SUM(F62:G62)</f>
        <v>38722</v>
      </c>
      <c r="I62" s="140">
        <f t="shared" ref="I62:I67" si="22">H62-E62</f>
        <v>3000.3042052538003</v>
      </c>
      <c r="J62" s="143">
        <f t="shared" ref="J62:J67" si="23">I62/E62</f>
        <v>8.3991091086304828E-2</v>
      </c>
    </row>
    <row r="63" spans="1:10" x14ac:dyDescent="0.3">
      <c r="B63" s="71">
        <v>10000</v>
      </c>
      <c r="C63" s="9">
        <f>'TOU Tariff Comparison LS'!H64</f>
        <v>18981</v>
      </c>
      <c r="D63" s="24">
        <f>'TOU Tariff Comparison HS'!H64</f>
        <v>24626.6957947462</v>
      </c>
      <c r="E63" s="11">
        <f t="shared" si="20"/>
        <v>43607.6957947462</v>
      </c>
      <c r="F63" s="9">
        <f>'TOU Tariff Comparison LS'!N64</f>
        <v>17290</v>
      </c>
      <c r="G63" s="9">
        <f>'TOU Tariff Comparison HS'!N64</f>
        <v>29900</v>
      </c>
      <c r="H63" s="30">
        <f t="shared" si="21"/>
        <v>47190</v>
      </c>
      <c r="I63" s="140">
        <f t="shared" si="22"/>
        <v>3582.3042052538003</v>
      </c>
      <c r="J63" s="143">
        <f t="shared" si="23"/>
        <v>8.214844054395995E-2</v>
      </c>
    </row>
    <row r="64" spans="1:10" x14ac:dyDescent="0.3">
      <c r="B64" s="72">
        <v>15000</v>
      </c>
      <c r="C64" s="9">
        <f>'TOU Tariff Comparison LS'!H65</f>
        <v>27396</v>
      </c>
      <c r="D64" s="24">
        <f>'TOU Tariff Comparison HS'!H65</f>
        <v>35926.6957947462</v>
      </c>
      <c r="E64" s="11">
        <f t="shared" si="20"/>
        <v>63322.6957947462</v>
      </c>
      <c r="F64" s="9">
        <f>'TOU Tariff Comparison LS'!N65</f>
        <v>24810</v>
      </c>
      <c r="G64" s="9">
        <f>'TOU Tariff Comparison HS'!N65</f>
        <v>43550</v>
      </c>
      <c r="H64" s="30">
        <f t="shared" si="21"/>
        <v>68360</v>
      </c>
      <c r="I64" s="140">
        <f t="shared" si="22"/>
        <v>5037.3042052538003</v>
      </c>
      <c r="J64" s="143">
        <f t="shared" si="23"/>
        <v>7.9549743453463939E-2</v>
      </c>
    </row>
    <row r="65" spans="2:10" x14ac:dyDescent="0.3">
      <c r="B65" s="73">
        <v>20000</v>
      </c>
      <c r="C65" s="9">
        <f>'TOU Tariff Comparison LS'!H66</f>
        <v>35811</v>
      </c>
      <c r="D65" s="24">
        <f>'TOU Tariff Comparison HS'!H66</f>
        <v>47226.6957947462</v>
      </c>
      <c r="E65" s="11">
        <f t="shared" si="20"/>
        <v>83037.695794746192</v>
      </c>
      <c r="F65" s="9">
        <f>'TOU Tariff Comparison LS'!N66</f>
        <v>32330</v>
      </c>
      <c r="G65" s="9">
        <f>'TOU Tariff Comparison HS'!N66</f>
        <v>57200</v>
      </c>
      <c r="H65" s="30">
        <f t="shared" si="21"/>
        <v>89530</v>
      </c>
      <c r="I65" s="140">
        <f t="shared" si="22"/>
        <v>6492.3042052538076</v>
      </c>
      <c r="J65" s="143">
        <f t="shared" si="23"/>
        <v>7.8185023598217149E-2</v>
      </c>
    </row>
    <row r="66" spans="2:10" x14ac:dyDescent="0.3">
      <c r="B66" s="73">
        <v>25000</v>
      </c>
      <c r="C66" s="9">
        <f>'TOU Tariff Comparison LS'!H67</f>
        <v>44226</v>
      </c>
      <c r="D66" s="24">
        <f>'TOU Tariff Comparison HS'!H67</f>
        <v>58526.6957947462</v>
      </c>
      <c r="E66" s="11">
        <f t="shared" si="20"/>
        <v>102752.69579474619</v>
      </c>
      <c r="F66" s="9">
        <f>'TOU Tariff Comparison LS'!N67</f>
        <v>39850</v>
      </c>
      <c r="G66" s="9">
        <f>'TOU Tariff Comparison HS'!N67</f>
        <v>70850</v>
      </c>
      <c r="H66" s="30">
        <f t="shared" si="21"/>
        <v>110700</v>
      </c>
      <c r="I66" s="140">
        <f t="shared" si="22"/>
        <v>7947.3042052538076</v>
      </c>
      <c r="J66" s="143">
        <f t="shared" si="23"/>
        <v>7.7343997096961409E-2</v>
      </c>
    </row>
    <row r="67" spans="2:10" x14ac:dyDescent="0.3">
      <c r="B67" s="124">
        <v>30000</v>
      </c>
      <c r="C67" s="9">
        <f>'TOU Tariff Comparison LS'!H68</f>
        <v>52641</v>
      </c>
      <c r="D67" s="24">
        <f>'TOU Tariff Comparison HS'!H68</f>
        <v>69826.695794746192</v>
      </c>
      <c r="E67" s="11">
        <f t="shared" si="20"/>
        <v>122467.69579474619</v>
      </c>
      <c r="F67" s="9">
        <f>'TOU Tariff Comparison LS'!N68</f>
        <v>47370</v>
      </c>
      <c r="G67" s="9">
        <f>'TOU Tariff Comparison HS'!N68</f>
        <v>84500</v>
      </c>
      <c r="H67" s="30">
        <f t="shared" si="21"/>
        <v>131870</v>
      </c>
      <c r="I67" s="140">
        <f t="shared" si="22"/>
        <v>9402.3042052538076</v>
      </c>
      <c r="J67" s="143">
        <f t="shared" si="23"/>
        <v>7.6773749552795631E-2</v>
      </c>
    </row>
    <row r="68" spans="2:10" x14ac:dyDescent="0.3">
      <c r="B68" s="1"/>
      <c r="C68" s="2"/>
      <c r="D68" s="2"/>
      <c r="E68" s="2"/>
      <c r="F68" s="2"/>
      <c r="G68" s="2"/>
      <c r="H68" s="2"/>
      <c r="I68" s="2"/>
      <c r="J68" s="141"/>
    </row>
    <row r="71" spans="2:10" x14ac:dyDescent="0.3">
      <c r="B71" s="153" t="str">
        <f>'Tariffs Inputs'!D39</f>
        <v>TOU Tariff 7</v>
      </c>
      <c r="C71" s="153"/>
      <c r="D71" s="153"/>
      <c r="E71" s="153"/>
      <c r="F71" s="153"/>
      <c r="G71" s="153"/>
      <c r="H71" s="153"/>
      <c r="I71" s="153"/>
      <c r="J71" s="154"/>
    </row>
    <row r="72" spans="2:10" ht="57.6" x14ac:dyDescent="0.3">
      <c r="B72" s="69" t="s">
        <v>1</v>
      </c>
      <c r="C72" s="53" t="str">
        <f>'Tariffs Inputs'!$F$4&amp;" low season total charge (R)"</f>
        <v>Year 1 low season total charge (R)</v>
      </c>
      <c r="D72" s="65" t="str">
        <f>'Tariffs Inputs'!$F$4&amp;" high season total charge (R)"</f>
        <v>Year 1 high season total charge (R)</v>
      </c>
      <c r="E72" s="53" t="str">
        <f>'Tariffs Inputs'!$F$4&amp;" total charge (R)"</f>
        <v>Year 1 total charge (R)</v>
      </c>
      <c r="F72" s="53" t="str">
        <f>'Tariffs Inputs'!$F$6&amp;" low season total charge (R)"</f>
        <v>Year 2 low season total charge (R)</v>
      </c>
      <c r="G72" s="53" t="str">
        <f>'Tariffs Inputs'!$F$6&amp;" high season total charge (R)"</f>
        <v>Year 2 high season total charge (R)</v>
      </c>
      <c r="H72" s="53" t="str">
        <f>'Tariffs Inputs'!$F$6&amp;" total charge (R)"</f>
        <v>Year 2 total charge (R)</v>
      </c>
      <c r="I72" s="53" t="s">
        <v>9</v>
      </c>
      <c r="J72" s="53" t="s">
        <v>10</v>
      </c>
    </row>
    <row r="73" spans="2:10" x14ac:dyDescent="0.3">
      <c r="B73" s="71">
        <v>5000</v>
      </c>
      <c r="C73" s="9">
        <f>'TOU Tariff Comparison LS'!H75</f>
        <v>8421</v>
      </c>
      <c r="D73" s="24">
        <f>'TOU Tariff Comparison HS'!H75</f>
        <v>11136</v>
      </c>
      <c r="E73" s="11">
        <f>SUM(C73:D73)</f>
        <v>19557</v>
      </c>
      <c r="F73" s="9">
        <f>'TOU Tariff Comparison LS'!N75</f>
        <v>9935</v>
      </c>
      <c r="G73" s="9">
        <f>'TOU Tariff Comparison HS'!N75</f>
        <v>14549.150912328392</v>
      </c>
      <c r="H73" s="30">
        <f>SUM(F73:G73)</f>
        <v>24484.15091232839</v>
      </c>
      <c r="I73" s="140">
        <f>H73-E73</f>
        <v>4927.1509123283904</v>
      </c>
      <c r="J73" s="143">
        <f>I73/E73</f>
        <v>0.25193797168933835</v>
      </c>
    </row>
    <row r="74" spans="2:10" x14ac:dyDescent="0.3">
      <c r="B74" s="72">
        <v>8000</v>
      </c>
      <c r="C74" s="9">
        <f>'TOU Tariff Comparison LS'!H76</f>
        <v>12006</v>
      </c>
      <c r="D74" s="24">
        <f>'TOU Tariff Comparison HS'!H76</f>
        <v>16716</v>
      </c>
      <c r="E74" s="11">
        <f t="shared" ref="E74:E79" si="24">SUM(C74:D74)</f>
        <v>28722</v>
      </c>
      <c r="F74" s="9">
        <f>'TOU Tariff Comparison LS'!N76</f>
        <v>14090</v>
      </c>
      <c r="G74" s="9">
        <f>'TOU Tariff Comparison HS'!N76</f>
        <v>21284.15091232839</v>
      </c>
      <c r="H74" s="30">
        <f t="shared" ref="H74:H79" si="25">SUM(F74:G74)</f>
        <v>35374.15091232839</v>
      </c>
      <c r="I74" s="140">
        <f t="shared" ref="I74:I79" si="26">H74-E74</f>
        <v>6652.1509123283904</v>
      </c>
      <c r="J74" s="143">
        <f t="shared" ref="J74:J79" si="27">I74/E74</f>
        <v>0.23160472503058249</v>
      </c>
    </row>
    <row r="75" spans="2:10" x14ac:dyDescent="0.3">
      <c r="B75" s="71">
        <v>10000</v>
      </c>
      <c r="C75" s="9">
        <f>'TOU Tariff Comparison LS'!H77</f>
        <v>14396</v>
      </c>
      <c r="D75" s="24">
        <f>'TOU Tariff Comparison HS'!H77</f>
        <v>20436</v>
      </c>
      <c r="E75" s="11">
        <f t="shared" si="24"/>
        <v>34832</v>
      </c>
      <c r="F75" s="9">
        <f>'TOU Tariff Comparison LS'!N77</f>
        <v>16860</v>
      </c>
      <c r="G75" s="9">
        <f>'TOU Tariff Comparison HS'!N77</f>
        <v>25774.150912328394</v>
      </c>
      <c r="H75" s="30">
        <f t="shared" si="25"/>
        <v>42634.15091232839</v>
      </c>
      <c r="I75" s="140">
        <f t="shared" si="26"/>
        <v>7802.1509123283904</v>
      </c>
      <c r="J75" s="143">
        <f t="shared" si="27"/>
        <v>0.22399376757947836</v>
      </c>
    </row>
    <row r="76" spans="2:10" x14ac:dyDescent="0.3">
      <c r="B76" s="72">
        <v>15000</v>
      </c>
      <c r="C76" s="9">
        <f>'TOU Tariff Comparison LS'!H78</f>
        <v>20371</v>
      </c>
      <c r="D76" s="24">
        <f>'TOU Tariff Comparison HS'!H78</f>
        <v>29736</v>
      </c>
      <c r="E76" s="11">
        <f t="shared" si="24"/>
        <v>50107</v>
      </c>
      <c r="F76" s="9">
        <f>'TOU Tariff Comparison LS'!N78</f>
        <v>23785</v>
      </c>
      <c r="G76" s="9">
        <f>'TOU Tariff Comparison HS'!N78</f>
        <v>36999.15091232839</v>
      </c>
      <c r="H76" s="30">
        <f t="shared" si="25"/>
        <v>60784.15091232839</v>
      </c>
      <c r="I76" s="140">
        <f t="shared" si="26"/>
        <v>10677.15091232839</v>
      </c>
      <c r="J76" s="143">
        <f t="shared" si="27"/>
        <v>0.21308701204080049</v>
      </c>
    </row>
    <row r="77" spans="2:10" x14ac:dyDescent="0.3">
      <c r="B77" s="73">
        <v>20000</v>
      </c>
      <c r="C77" s="9">
        <f>'TOU Tariff Comparison LS'!H79</f>
        <v>26346</v>
      </c>
      <c r="D77" s="24">
        <f>'TOU Tariff Comparison HS'!H79</f>
        <v>39036</v>
      </c>
      <c r="E77" s="11">
        <f t="shared" si="24"/>
        <v>65382</v>
      </c>
      <c r="F77" s="9">
        <f>'TOU Tariff Comparison LS'!N79</f>
        <v>30710</v>
      </c>
      <c r="G77" s="9">
        <f>'TOU Tariff Comparison HS'!N79</f>
        <v>48224.150912328398</v>
      </c>
      <c r="H77" s="30">
        <f t="shared" si="25"/>
        <v>78934.15091232839</v>
      </c>
      <c r="I77" s="140">
        <f t="shared" si="26"/>
        <v>13552.15091232839</v>
      </c>
      <c r="J77" s="143">
        <f t="shared" si="27"/>
        <v>0.20727648148310529</v>
      </c>
    </row>
    <row r="78" spans="2:10" x14ac:dyDescent="0.3">
      <c r="B78" s="73">
        <v>25000</v>
      </c>
      <c r="C78" s="9">
        <f>'TOU Tariff Comparison LS'!H80</f>
        <v>32321</v>
      </c>
      <c r="D78" s="24">
        <f>'TOU Tariff Comparison HS'!H80</f>
        <v>48336</v>
      </c>
      <c r="E78" s="11">
        <f t="shared" si="24"/>
        <v>80657</v>
      </c>
      <c r="F78" s="9">
        <f>'TOU Tariff Comparison LS'!N80</f>
        <v>37635</v>
      </c>
      <c r="G78" s="9">
        <f>'TOU Tariff Comparison HS'!N80</f>
        <v>59449.15091232839</v>
      </c>
      <c r="H78" s="30">
        <f t="shared" si="25"/>
        <v>97084.15091232839</v>
      </c>
      <c r="I78" s="140">
        <f t="shared" si="26"/>
        <v>16427.15091232839</v>
      </c>
      <c r="J78" s="143">
        <f t="shared" si="27"/>
        <v>0.20366677303059116</v>
      </c>
    </row>
    <row r="79" spans="2:10" x14ac:dyDescent="0.3">
      <c r="B79" s="124">
        <v>30000</v>
      </c>
      <c r="C79" s="9">
        <f>'TOU Tariff Comparison LS'!H81</f>
        <v>38296</v>
      </c>
      <c r="D79" s="24">
        <f>'TOU Tariff Comparison HS'!H81</f>
        <v>57636</v>
      </c>
      <c r="E79" s="11">
        <f t="shared" si="24"/>
        <v>95932</v>
      </c>
      <c r="F79" s="9">
        <f>'TOU Tariff Comparison LS'!N81</f>
        <v>44560</v>
      </c>
      <c r="G79" s="9">
        <f>'TOU Tariff Comparison HS'!N81</f>
        <v>70674.15091232839</v>
      </c>
      <c r="H79" s="30">
        <f t="shared" si="25"/>
        <v>115234.15091232839</v>
      </c>
      <c r="I79" s="140">
        <f t="shared" si="26"/>
        <v>19302.15091232839</v>
      </c>
      <c r="J79" s="143">
        <f t="shared" si="27"/>
        <v>0.20120659334037017</v>
      </c>
    </row>
    <row r="80" spans="2:10" x14ac:dyDescent="0.3">
      <c r="B80" s="1"/>
      <c r="C80" s="2"/>
      <c r="D80" s="2"/>
      <c r="E80" s="2"/>
      <c r="F80" s="2"/>
      <c r="G80" s="2"/>
      <c r="H80" s="2"/>
      <c r="I80" s="2"/>
      <c r="J80" s="141"/>
    </row>
    <row r="83" spans="2:10" x14ac:dyDescent="0.3">
      <c r="B83" s="153" t="str">
        <f>'Tariffs Inputs'!D40</f>
        <v>TOU Tariff 8</v>
      </c>
      <c r="C83" s="153"/>
      <c r="D83" s="153"/>
      <c r="E83" s="153"/>
      <c r="F83" s="153"/>
      <c r="G83" s="153"/>
      <c r="H83" s="153"/>
      <c r="I83" s="153"/>
      <c r="J83" s="154"/>
    </row>
    <row r="84" spans="2:10" ht="57.6" x14ac:dyDescent="0.3">
      <c r="B84" s="69" t="s">
        <v>1</v>
      </c>
      <c r="C84" s="53" t="str">
        <f>'Tariffs Inputs'!$F$4&amp;" low season total charge (R)"</f>
        <v>Year 1 low season total charge (R)</v>
      </c>
      <c r="D84" s="65" t="str">
        <f>'Tariffs Inputs'!$F$4&amp;" high season total charge (R)"</f>
        <v>Year 1 high season total charge (R)</v>
      </c>
      <c r="E84" s="53" t="str">
        <f>'Tariffs Inputs'!$F$4&amp;" total charge (R)"</f>
        <v>Year 1 total charge (R)</v>
      </c>
      <c r="F84" s="53" t="str">
        <f>'Tariffs Inputs'!$F$6&amp;" low season total charge (R)"</f>
        <v>Year 2 low season total charge (R)</v>
      </c>
      <c r="G84" s="53" t="str">
        <f>'Tariffs Inputs'!$F$6&amp;" high season total charge (R)"</f>
        <v>Year 2 high season total charge (R)</v>
      </c>
      <c r="H84" s="53" t="str">
        <f>'Tariffs Inputs'!$F$6&amp;" total charge (R)"</f>
        <v>Year 2 total charge (R)</v>
      </c>
      <c r="I84" s="53" t="s">
        <v>9</v>
      </c>
      <c r="J84" s="53" t="s">
        <v>10</v>
      </c>
    </row>
    <row r="85" spans="2:10" x14ac:dyDescent="0.3">
      <c r="B85" s="71">
        <v>5000</v>
      </c>
      <c r="C85" s="9">
        <f>'TOU Tariff Comparison LS'!H88</f>
        <v>8098.5</v>
      </c>
      <c r="D85" s="24">
        <f>'TOU Tariff Comparison HS'!H88</f>
        <v>10425</v>
      </c>
      <c r="E85" s="11">
        <f>SUM(C85:D85)</f>
        <v>18523.5</v>
      </c>
      <c r="F85" s="9">
        <f>'TOU Tariff Comparison LS'!N88</f>
        <v>8676</v>
      </c>
      <c r="G85" s="9">
        <f>'TOU Tariff Comparison HS'!N88</f>
        <v>12225</v>
      </c>
      <c r="H85" s="30">
        <f>SUM(F85:G85)</f>
        <v>20901</v>
      </c>
      <c r="I85" s="140">
        <f>H85-E85</f>
        <v>2377.5</v>
      </c>
      <c r="J85" s="143">
        <f>I85/E85</f>
        <v>0.12835047372256864</v>
      </c>
    </row>
    <row r="86" spans="2:10" x14ac:dyDescent="0.3">
      <c r="B86" s="72">
        <v>8000</v>
      </c>
      <c r="C86" s="9">
        <f>'TOU Tariff Comparison LS'!H89</f>
        <v>10644</v>
      </c>
      <c r="D86" s="24">
        <f>'TOU Tariff Comparison HS'!H89</f>
        <v>14655</v>
      </c>
      <c r="E86" s="11">
        <f t="shared" ref="E86:E91" si="28">SUM(C86:D86)</f>
        <v>25299</v>
      </c>
      <c r="F86" s="9">
        <f>'TOU Tariff Comparison LS'!N89</f>
        <v>11616</v>
      </c>
      <c r="G86" s="9">
        <f>'TOU Tariff Comparison HS'!N89</f>
        <v>18330</v>
      </c>
      <c r="H86" s="30">
        <f t="shared" ref="H86:H91" si="29">SUM(F86:G86)</f>
        <v>29946</v>
      </c>
      <c r="I86" s="140">
        <f t="shared" ref="I86:I91" si="30">H86-E86</f>
        <v>4647</v>
      </c>
      <c r="J86" s="143">
        <f t="shared" ref="J86:J91" si="31">I86/E86</f>
        <v>0.18368314953160203</v>
      </c>
    </row>
    <row r="87" spans="2:10" x14ac:dyDescent="0.3">
      <c r="B87" s="71">
        <v>10000</v>
      </c>
      <c r="C87" s="9">
        <f>'TOU Tariff Comparison LS'!H90</f>
        <v>12341</v>
      </c>
      <c r="D87" s="24">
        <f>'TOU Tariff Comparison HS'!H90</f>
        <v>17475</v>
      </c>
      <c r="E87" s="11">
        <f t="shared" si="28"/>
        <v>29816</v>
      </c>
      <c r="F87" s="9">
        <f>'TOU Tariff Comparison LS'!N90</f>
        <v>13576</v>
      </c>
      <c r="G87" s="9">
        <f>'TOU Tariff Comparison HS'!N90</f>
        <v>22400</v>
      </c>
      <c r="H87" s="30">
        <f t="shared" si="29"/>
        <v>35976</v>
      </c>
      <c r="I87" s="140">
        <f t="shared" si="30"/>
        <v>6160</v>
      </c>
      <c r="J87" s="143">
        <f t="shared" si="31"/>
        <v>0.20660048296216796</v>
      </c>
    </row>
    <row r="88" spans="2:10" x14ac:dyDescent="0.3">
      <c r="B88" s="72">
        <v>15000</v>
      </c>
      <c r="C88" s="9">
        <f>'TOU Tariff Comparison LS'!H91</f>
        <v>16583.5</v>
      </c>
      <c r="D88" s="24">
        <f>'TOU Tariff Comparison HS'!H91</f>
        <v>24525</v>
      </c>
      <c r="E88" s="11">
        <f t="shared" si="28"/>
        <v>41108.5</v>
      </c>
      <c r="F88" s="9">
        <f>'TOU Tariff Comparison LS'!N91</f>
        <v>18476</v>
      </c>
      <c r="G88" s="9">
        <f>'TOU Tariff Comparison HS'!N91</f>
        <v>32575</v>
      </c>
      <c r="H88" s="30">
        <f t="shared" si="29"/>
        <v>51051</v>
      </c>
      <c r="I88" s="140">
        <f t="shared" si="30"/>
        <v>9942.5</v>
      </c>
      <c r="J88" s="143">
        <f t="shared" si="31"/>
        <v>0.24185995597017648</v>
      </c>
    </row>
    <row r="89" spans="2:10" x14ac:dyDescent="0.3">
      <c r="B89" s="73">
        <v>20000</v>
      </c>
      <c r="C89" s="9">
        <f>'TOU Tariff Comparison LS'!H92</f>
        <v>20826</v>
      </c>
      <c r="D89" s="24">
        <f>'TOU Tariff Comparison HS'!H92</f>
        <v>31575</v>
      </c>
      <c r="E89" s="11">
        <f t="shared" si="28"/>
        <v>52401</v>
      </c>
      <c r="F89" s="9">
        <f>'TOU Tariff Comparison LS'!N92</f>
        <v>23376</v>
      </c>
      <c r="G89" s="9">
        <f>'TOU Tariff Comparison HS'!N92</f>
        <v>42750</v>
      </c>
      <c r="H89" s="30">
        <f t="shared" si="29"/>
        <v>66126</v>
      </c>
      <c r="I89" s="140">
        <f t="shared" si="30"/>
        <v>13725</v>
      </c>
      <c r="J89" s="143">
        <f t="shared" si="31"/>
        <v>0.26192248239537413</v>
      </c>
    </row>
    <row r="90" spans="2:10" x14ac:dyDescent="0.3">
      <c r="B90" s="73">
        <v>25000</v>
      </c>
      <c r="C90" s="9">
        <f>'TOU Tariff Comparison LS'!H93</f>
        <v>25068.5</v>
      </c>
      <c r="D90" s="24">
        <f>'TOU Tariff Comparison HS'!H93</f>
        <v>38625</v>
      </c>
      <c r="E90" s="11">
        <f t="shared" si="28"/>
        <v>63693.5</v>
      </c>
      <c r="F90" s="9">
        <f>'TOU Tariff Comparison LS'!N93</f>
        <v>28276</v>
      </c>
      <c r="G90" s="9">
        <f>'TOU Tariff Comparison HS'!N93</f>
        <v>52925</v>
      </c>
      <c r="H90" s="30">
        <f t="shared" si="29"/>
        <v>81201</v>
      </c>
      <c r="I90" s="140">
        <f t="shared" si="30"/>
        <v>17507.5</v>
      </c>
      <c r="J90" s="143">
        <f t="shared" si="31"/>
        <v>0.27487106219629948</v>
      </c>
    </row>
    <row r="91" spans="2:10" x14ac:dyDescent="0.3">
      <c r="B91" s="124">
        <v>30000</v>
      </c>
      <c r="C91" s="9">
        <f>'TOU Tariff Comparison LS'!H94</f>
        <v>29311</v>
      </c>
      <c r="D91" s="24">
        <f>'TOU Tariff Comparison HS'!H94</f>
        <v>45675</v>
      </c>
      <c r="E91" s="11">
        <f t="shared" si="28"/>
        <v>74986</v>
      </c>
      <c r="F91" s="9">
        <f>'TOU Tariff Comparison LS'!N94</f>
        <v>33176</v>
      </c>
      <c r="G91" s="9">
        <f>'TOU Tariff Comparison HS'!N94</f>
        <v>63100</v>
      </c>
      <c r="H91" s="30">
        <f t="shared" si="29"/>
        <v>96276</v>
      </c>
      <c r="I91" s="140">
        <f t="shared" si="30"/>
        <v>21290</v>
      </c>
      <c r="J91" s="143">
        <f t="shared" si="31"/>
        <v>0.28391966500413413</v>
      </c>
    </row>
    <row r="92" spans="2:10" x14ac:dyDescent="0.3">
      <c r="B92" s="1"/>
      <c r="C92" s="2"/>
      <c r="D92" s="2"/>
      <c r="E92" s="2"/>
      <c r="F92" s="2"/>
      <c r="G92" s="2"/>
      <c r="H92" s="2"/>
      <c r="I92" s="2"/>
      <c r="J92" s="141"/>
    </row>
    <row r="95" spans="2:10" x14ac:dyDescent="0.3">
      <c r="B95" s="153" t="str">
        <f>'Tariffs Inputs'!D41</f>
        <v>TOU Tariff 9</v>
      </c>
      <c r="C95" s="153"/>
      <c r="D95" s="153"/>
      <c r="E95" s="153"/>
      <c r="F95" s="153"/>
      <c r="G95" s="153"/>
      <c r="H95" s="153"/>
      <c r="I95" s="153"/>
      <c r="J95" s="154"/>
    </row>
    <row r="96" spans="2:10" ht="57.6" x14ac:dyDescent="0.3">
      <c r="B96" s="69" t="s">
        <v>1</v>
      </c>
      <c r="C96" s="53" t="str">
        <f>'Tariffs Inputs'!$F$4&amp;" low season total charge (R)"</f>
        <v>Year 1 low season total charge (R)</v>
      </c>
      <c r="D96" s="65" t="str">
        <f>'Tariffs Inputs'!$F$4&amp;" high season total charge (R)"</f>
        <v>Year 1 high season total charge (R)</v>
      </c>
      <c r="E96" s="53" t="str">
        <f>'Tariffs Inputs'!$F$4&amp;" total charge (R)"</f>
        <v>Year 1 total charge (R)</v>
      </c>
      <c r="F96" s="53" t="str">
        <f>'Tariffs Inputs'!$F$6&amp;" low season total charge (R)"</f>
        <v>Year 2 low season total charge (R)</v>
      </c>
      <c r="G96" s="53" t="str">
        <f>'Tariffs Inputs'!$F$6&amp;" high season total charge (R)"</f>
        <v>Year 2 high season total charge (R)</v>
      </c>
      <c r="H96" s="53" t="str">
        <f>'Tariffs Inputs'!$F$6&amp;" total charge (R)"</f>
        <v>Year 2 total charge (R)</v>
      </c>
      <c r="I96" s="53" t="s">
        <v>9</v>
      </c>
      <c r="J96" s="53" t="s">
        <v>10</v>
      </c>
    </row>
    <row r="97" spans="2:10" x14ac:dyDescent="0.3">
      <c r="B97" s="71">
        <v>5000</v>
      </c>
      <c r="C97" s="9">
        <f>'TOU Tariff Comparison LS'!H101</f>
        <v>13513.28</v>
      </c>
      <c r="D97" s="24">
        <f>'TOU Tariff Comparison HS'!H101</f>
        <v>14592.150912328392</v>
      </c>
      <c r="E97" s="11">
        <f>SUM(C97:D97)</f>
        <v>28105.430912328393</v>
      </c>
      <c r="F97" s="9">
        <f>'TOU Tariff Comparison LS'!N101</f>
        <v>11644</v>
      </c>
      <c r="G97" s="9">
        <f>'TOU Tariff Comparison HS'!N101</f>
        <v>17169.5</v>
      </c>
      <c r="H97" s="30">
        <f>SUM(F97:G97)</f>
        <v>28813.5</v>
      </c>
      <c r="I97" s="140">
        <f>H97-E97</f>
        <v>708.06908767160712</v>
      </c>
      <c r="J97" s="143">
        <f>I97/E97</f>
        <v>2.5193319037887942E-2</v>
      </c>
    </row>
    <row r="98" spans="2:10" x14ac:dyDescent="0.3">
      <c r="B98" s="72">
        <v>8000</v>
      </c>
      <c r="C98" s="9">
        <f>'TOU Tariff Comparison LS'!H102</f>
        <v>19099.580000000002</v>
      </c>
      <c r="D98" s="24">
        <f>'TOU Tariff Comparison HS'!H102</f>
        <v>21750.15091232839</v>
      </c>
      <c r="E98" s="11">
        <f t="shared" ref="E98:E103" si="32">SUM(C98:D98)</f>
        <v>40849.730912328392</v>
      </c>
      <c r="F98" s="9">
        <f>'TOU Tariff Comparison LS'!N102</f>
        <v>16440.400000000001</v>
      </c>
      <c r="G98" s="9">
        <f>'TOU Tariff Comparison HS'!N102</f>
        <v>25398.799999999999</v>
      </c>
      <c r="H98" s="30">
        <f t="shared" ref="H98:H103" si="33">SUM(F98:G98)</f>
        <v>41839.199999999997</v>
      </c>
      <c r="I98" s="140">
        <f t="shared" ref="I98:I103" si="34">H98-E98</f>
        <v>989.46908767160494</v>
      </c>
      <c r="J98" s="143">
        <f t="shared" ref="J98:J103" si="35">I98/E98</f>
        <v>2.4222169046723991E-2</v>
      </c>
    </row>
    <row r="99" spans="2:10" x14ac:dyDescent="0.3">
      <c r="B99" s="71">
        <v>10000</v>
      </c>
      <c r="C99" s="9">
        <f>'TOU Tariff Comparison LS'!H103</f>
        <v>22823.78</v>
      </c>
      <c r="D99" s="24">
        <f>'TOU Tariff Comparison HS'!H103</f>
        <v>26522.150912328394</v>
      </c>
      <c r="E99" s="11">
        <f t="shared" si="32"/>
        <v>49345.930912328389</v>
      </c>
      <c r="F99" s="9">
        <f>'TOU Tariff Comparison LS'!N103</f>
        <v>19638</v>
      </c>
      <c r="G99" s="9">
        <f>'TOU Tariff Comparison HS'!N103</f>
        <v>30885</v>
      </c>
      <c r="H99" s="30">
        <f t="shared" si="33"/>
        <v>50523</v>
      </c>
      <c r="I99" s="140">
        <f t="shared" si="34"/>
        <v>1177.0690876716108</v>
      </c>
      <c r="J99" s="143">
        <f t="shared" si="35"/>
        <v>2.3853417412732131E-2</v>
      </c>
    </row>
    <row r="100" spans="2:10" x14ac:dyDescent="0.3">
      <c r="B100" s="72">
        <v>15000</v>
      </c>
      <c r="C100" s="9">
        <f>'TOU Tariff Comparison LS'!H104</f>
        <v>32134.28</v>
      </c>
      <c r="D100" s="24">
        <f>'TOU Tariff Comparison HS'!H104</f>
        <v>38452.15091232839</v>
      </c>
      <c r="E100" s="11">
        <f t="shared" si="32"/>
        <v>70586.430912328389</v>
      </c>
      <c r="F100" s="9">
        <f>'TOU Tariff Comparison LS'!N104</f>
        <v>27632</v>
      </c>
      <c r="G100" s="9">
        <f>'TOU Tariff Comparison HS'!N104</f>
        <v>44600.5</v>
      </c>
      <c r="H100" s="30">
        <f t="shared" si="33"/>
        <v>72232.5</v>
      </c>
      <c r="I100" s="140">
        <f t="shared" si="34"/>
        <v>1646.0690876716108</v>
      </c>
      <c r="J100" s="143">
        <f t="shared" si="35"/>
        <v>2.3319908180597836E-2</v>
      </c>
    </row>
    <row r="101" spans="2:10" x14ac:dyDescent="0.3">
      <c r="B101" s="73">
        <v>20000</v>
      </c>
      <c r="C101" s="9">
        <f>'TOU Tariff Comparison LS'!H105</f>
        <v>41444.78</v>
      </c>
      <c r="D101" s="24">
        <f>'TOU Tariff Comparison HS'!H105</f>
        <v>50382.15091232839</v>
      </c>
      <c r="E101" s="11">
        <f t="shared" si="32"/>
        <v>91826.930912328389</v>
      </c>
      <c r="F101" s="9">
        <f>'TOU Tariff Comparison LS'!N105</f>
        <v>35626</v>
      </c>
      <c r="G101" s="9">
        <f>'TOU Tariff Comparison HS'!N105</f>
        <v>58316</v>
      </c>
      <c r="H101" s="30">
        <f t="shared" si="33"/>
        <v>93942</v>
      </c>
      <c r="I101" s="140">
        <f t="shared" si="34"/>
        <v>2115.0690876716108</v>
      </c>
      <c r="J101" s="143">
        <f t="shared" si="35"/>
        <v>2.3033211135968047E-2</v>
      </c>
    </row>
    <row r="102" spans="2:10" x14ac:dyDescent="0.3">
      <c r="B102" s="73">
        <v>25000</v>
      </c>
      <c r="C102" s="9">
        <f>'TOU Tariff Comparison LS'!H106</f>
        <v>50755.28</v>
      </c>
      <c r="D102" s="24">
        <f>'TOU Tariff Comparison HS'!H106</f>
        <v>62312.15091232839</v>
      </c>
      <c r="E102" s="11">
        <f t="shared" si="32"/>
        <v>113067.43091232839</v>
      </c>
      <c r="F102" s="9">
        <f>'TOU Tariff Comparison LS'!N106</f>
        <v>43620</v>
      </c>
      <c r="G102" s="9">
        <f>'TOU Tariff Comparison HS'!N106</f>
        <v>72031.5</v>
      </c>
      <c r="H102" s="30">
        <f t="shared" si="33"/>
        <v>115651.5</v>
      </c>
      <c r="I102" s="140">
        <f t="shared" si="34"/>
        <v>2584.0690876716108</v>
      </c>
      <c r="J102" s="143">
        <f t="shared" si="35"/>
        <v>2.2854230142323458E-2</v>
      </c>
    </row>
    <row r="103" spans="2:10" x14ac:dyDescent="0.3">
      <c r="B103" s="124">
        <v>30000</v>
      </c>
      <c r="C103" s="9">
        <f>'TOU Tariff Comparison LS'!H107</f>
        <v>60065.78</v>
      </c>
      <c r="D103" s="24">
        <f>'TOU Tariff Comparison HS'!H107</f>
        <v>74242.15091232839</v>
      </c>
      <c r="E103" s="11">
        <f t="shared" si="32"/>
        <v>134307.93091232839</v>
      </c>
      <c r="F103" s="9">
        <f>'TOU Tariff Comparison LS'!N107</f>
        <v>51614</v>
      </c>
      <c r="G103" s="9">
        <f>'TOU Tariff Comparison HS'!N107</f>
        <v>85747</v>
      </c>
      <c r="H103" s="30">
        <f t="shared" si="33"/>
        <v>137361</v>
      </c>
      <c r="I103" s="140">
        <f t="shared" si="34"/>
        <v>3053.0690876716108</v>
      </c>
      <c r="J103" s="143">
        <f t="shared" si="35"/>
        <v>2.273186003933416E-2</v>
      </c>
    </row>
    <row r="104" spans="2:10" x14ac:dyDescent="0.3">
      <c r="B104" s="1"/>
      <c r="C104" s="2"/>
      <c r="D104" s="2"/>
      <c r="E104" s="2"/>
      <c r="F104" s="2"/>
      <c r="G104" s="2"/>
      <c r="H104" s="2"/>
      <c r="I104" s="2"/>
      <c r="J104" s="141"/>
    </row>
    <row r="107" spans="2:10" x14ac:dyDescent="0.3">
      <c r="B107" s="153" t="str">
        <f>'Tariffs Inputs'!D42</f>
        <v>TOU Tariff 10</v>
      </c>
      <c r="C107" s="153"/>
      <c r="D107" s="153"/>
      <c r="E107" s="153"/>
      <c r="F107" s="153"/>
      <c r="G107" s="153"/>
      <c r="H107" s="153"/>
      <c r="I107" s="153"/>
      <c r="J107" s="154"/>
    </row>
    <row r="108" spans="2:10" ht="57.6" x14ac:dyDescent="0.3">
      <c r="B108" s="69" t="s">
        <v>1</v>
      </c>
      <c r="C108" s="53" t="str">
        <f>'Tariffs Inputs'!$F$4&amp;" low season total charge (R)"</f>
        <v>Year 1 low season total charge (R)</v>
      </c>
      <c r="D108" s="65" t="str">
        <f>'Tariffs Inputs'!$F$4&amp;" high season total charge (R)"</f>
        <v>Year 1 high season total charge (R)</v>
      </c>
      <c r="E108" s="53" t="str">
        <f>'Tariffs Inputs'!$F$4&amp;" total charge (R)"</f>
        <v>Year 1 total charge (R)</v>
      </c>
      <c r="F108" s="53" t="str">
        <f>'Tariffs Inputs'!$F$6&amp;" low season total charge (R)"</f>
        <v>Year 2 low season total charge (R)</v>
      </c>
      <c r="G108" s="53" t="str">
        <f>'Tariffs Inputs'!$F$6&amp;" high season total charge (R)"</f>
        <v>Year 2 high season total charge (R)</v>
      </c>
      <c r="H108" s="53" t="str">
        <f>'Tariffs Inputs'!$F$6&amp;" total charge (R)"</f>
        <v>Year 2 total charge (R)</v>
      </c>
      <c r="I108" s="53" t="s">
        <v>9</v>
      </c>
      <c r="J108" s="53" t="s">
        <v>10</v>
      </c>
    </row>
    <row r="109" spans="2:10" x14ac:dyDescent="0.3">
      <c r="B109" s="71">
        <v>5000</v>
      </c>
      <c r="C109" s="9">
        <f>'TOU Tariff Comparison LS'!H114</f>
        <v>8980</v>
      </c>
      <c r="D109" s="24">
        <f>'TOU Tariff Comparison HS'!H114</f>
        <v>12360</v>
      </c>
      <c r="E109" s="11">
        <f>SUM(C109:D109)</f>
        <v>21340</v>
      </c>
      <c r="F109" s="9">
        <f>'TOU Tariff Comparison LS'!N114</f>
        <v>12642</v>
      </c>
      <c r="G109" s="9">
        <f>'TOU Tariff Comparison HS'!N114</f>
        <v>14350</v>
      </c>
      <c r="H109" s="30">
        <f>SUM(F109:G109)</f>
        <v>26992</v>
      </c>
      <c r="I109" s="140">
        <f>H109-E109</f>
        <v>5652</v>
      </c>
      <c r="J109" s="143">
        <f>I109/E109</f>
        <v>0.26485473289597</v>
      </c>
    </row>
    <row r="110" spans="2:10" x14ac:dyDescent="0.3">
      <c r="B110" s="72">
        <v>8000</v>
      </c>
      <c r="C110" s="9">
        <f>'TOU Tariff Comparison LS'!H115</f>
        <v>12634</v>
      </c>
      <c r="D110" s="24">
        <f>'TOU Tariff Comparison HS'!H115</f>
        <v>18102</v>
      </c>
      <c r="E110" s="11">
        <f t="shared" ref="E110:E115" si="36">SUM(C110:D110)</f>
        <v>30736</v>
      </c>
      <c r="F110" s="9">
        <f>'TOU Tariff Comparison LS'!N115</f>
        <v>18499.2</v>
      </c>
      <c r="G110" s="9">
        <f>'TOU Tariff Comparison HS'!N115</f>
        <v>20620</v>
      </c>
      <c r="H110" s="30">
        <f t="shared" ref="H110:H115" si="37">SUM(F110:G110)</f>
        <v>39119.199999999997</v>
      </c>
      <c r="I110" s="140">
        <f t="shared" ref="I110:I115" si="38">H110-E110</f>
        <v>8383.1999999999971</v>
      </c>
      <c r="J110" s="143">
        <f t="shared" ref="J110:J115" si="39">I110/E110</f>
        <v>0.27274856845393014</v>
      </c>
    </row>
    <row r="111" spans="2:10" x14ac:dyDescent="0.3">
      <c r="B111" s="71">
        <v>10000</v>
      </c>
      <c r="C111" s="9">
        <f>'TOU Tariff Comparison LS'!H116</f>
        <v>15070</v>
      </c>
      <c r="D111" s="24">
        <f>'TOU Tariff Comparison HS'!H116</f>
        <v>21930</v>
      </c>
      <c r="E111" s="11">
        <f t="shared" si="36"/>
        <v>37000</v>
      </c>
      <c r="F111" s="9">
        <f>'TOU Tariff Comparison LS'!N116</f>
        <v>22404</v>
      </c>
      <c r="G111" s="9">
        <f>'TOU Tariff Comparison HS'!N116</f>
        <v>24800</v>
      </c>
      <c r="H111" s="30">
        <f t="shared" si="37"/>
        <v>47204</v>
      </c>
      <c r="I111" s="140">
        <f t="shared" si="38"/>
        <v>10204</v>
      </c>
      <c r="J111" s="143">
        <f t="shared" si="39"/>
        <v>0.27578378378378376</v>
      </c>
    </row>
    <row r="112" spans="2:10" x14ac:dyDescent="0.3">
      <c r="B112" s="72">
        <v>15000</v>
      </c>
      <c r="C112" s="9">
        <f>'TOU Tariff Comparison LS'!H117</f>
        <v>21160</v>
      </c>
      <c r="D112" s="24">
        <f>'TOU Tariff Comparison HS'!H117</f>
        <v>31500</v>
      </c>
      <c r="E112" s="11">
        <f t="shared" si="36"/>
        <v>52660</v>
      </c>
      <c r="F112" s="9">
        <f>'TOU Tariff Comparison LS'!N117</f>
        <v>32166</v>
      </c>
      <c r="G112" s="9">
        <f>'TOU Tariff Comparison HS'!N117</f>
        <v>35250</v>
      </c>
      <c r="H112" s="30">
        <f t="shared" si="37"/>
        <v>67416</v>
      </c>
      <c r="I112" s="140">
        <f t="shared" si="38"/>
        <v>14756</v>
      </c>
      <c r="J112" s="143">
        <f t="shared" si="39"/>
        <v>0.28021268515001901</v>
      </c>
    </row>
    <row r="113" spans="2:10" x14ac:dyDescent="0.3">
      <c r="B113" s="73">
        <v>20000</v>
      </c>
      <c r="C113" s="9">
        <f>'TOU Tariff Comparison LS'!H118</f>
        <v>27250</v>
      </c>
      <c r="D113" s="24">
        <f>'TOU Tariff Comparison HS'!H118</f>
        <v>41070</v>
      </c>
      <c r="E113" s="11">
        <f t="shared" si="36"/>
        <v>68320</v>
      </c>
      <c r="F113" s="9">
        <f>'TOU Tariff Comparison LS'!N118</f>
        <v>41928</v>
      </c>
      <c r="G113" s="9">
        <f>'TOU Tariff Comparison HS'!N118</f>
        <v>45700</v>
      </c>
      <c r="H113" s="30">
        <f t="shared" si="37"/>
        <v>87628</v>
      </c>
      <c r="I113" s="140">
        <f t="shared" si="38"/>
        <v>19308</v>
      </c>
      <c r="J113" s="143">
        <f t="shared" si="39"/>
        <v>0.28261124121779857</v>
      </c>
    </row>
    <row r="114" spans="2:10" x14ac:dyDescent="0.3">
      <c r="B114" s="73">
        <v>25000</v>
      </c>
      <c r="C114" s="9">
        <f>'TOU Tariff Comparison LS'!H119</f>
        <v>33340</v>
      </c>
      <c r="D114" s="24">
        <f>'TOU Tariff Comparison HS'!H119</f>
        <v>50640</v>
      </c>
      <c r="E114" s="11">
        <f t="shared" si="36"/>
        <v>83980</v>
      </c>
      <c r="F114" s="9">
        <f>'TOU Tariff Comparison LS'!N119</f>
        <v>51690</v>
      </c>
      <c r="G114" s="9">
        <f>'TOU Tariff Comparison HS'!N119</f>
        <v>56150</v>
      </c>
      <c r="H114" s="30">
        <f t="shared" si="37"/>
        <v>107840</v>
      </c>
      <c r="I114" s="140">
        <f t="shared" si="38"/>
        <v>23860</v>
      </c>
      <c r="J114" s="143">
        <f t="shared" si="39"/>
        <v>0.28411526553941413</v>
      </c>
    </row>
    <row r="115" spans="2:10" x14ac:dyDescent="0.3">
      <c r="B115" s="124">
        <v>30000</v>
      </c>
      <c r="C115" s="9">
        <f>'TOU Tariff Comparison LS'!H120</f>
        <v>39430</v>
      </c>
      <c r="D115" s="24">
        <f>'TOU Tariff Comparison HS'!H120</f>
        <v>60210</v>
      </c>
      <c r="E115" s="11">
        <f t="shared" si="36"/>
        <v>99640</v>
      </c>
      <c r="F115" s="9">
        <f>'TOU Tariff Comparison LS'!N120</f>
        <v>61452</v>
      </c>
      <c r="G115" s="9">
        <f>'TOU Tariff Comparison HS'!N120</f>
        <v>66600</v>
      </c>
      <c r="H115" s="30">
        <f t="shared" si="37"/>
        <v>128052</v>
      </c>
      <c r="I115" s="140">
        <f t="shared" si="38"/>
        <v>28412</v>
      </c>
      <c r="J115" s="143">
        <f t="shared" si="39"/>
        <v>0.28514652749899638</v>
      </c>
    </row>
    <row r="116" spans="2:10" x14ac:dyDescent="0.3">
      <c r="B116" s="1"/>
      <c r="C116" s="2"/>
      <c r="D116" s="2"/>
      <c r="E116" s="2"/>
      <c r="F116" s="2"/>
      <c r="G116" s="2"/>
      <c r="H116" s="2"/>
      <c r="I116" s="2"/>
      <c r="J116" s="141"/>
    </row>
  </sheetData>
  <mergeCells count="11">
    <mergeCell ref="B7:J7"/>
    <mergeCell ref="B2:J3"/>
    <mergeCell ref="B17:J17"/>
    <mergeCell ref="B27:J27"/>
    <mergeCell ref="B37:J37"/>
    <mergeCell ref="B107:J107"/>
    <mergeCell ref="B47:J47"/>
    <mergeCell ref="B59:J59"/>
    <mergeCell ref="B71:J71"/>
    <mergeCell ref="B83:J83"/>
    <mergeCell ref="B95:J95"/>
  </mergeCells>
  <pageMargins left="0.7" right="0.7" top="0.75" bottom="0.75" header="0.3" footer="0.3"/>
  <ignoredErrors>
    <ignoredError sqref="H9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ject_x0020_or_x0020_Accept_x0020_Candidate_MG_x0020_Review xmlns="8ec2cf5d-ef57-41be-a36e-a97ea5d4bd8d">true</Reject_x0020_or_x0020_Accept_x0020_Candidate_MG_x0020_Review>
    <TaxCatchAll xmlns="66658e94-0e53-4e3f-945b-f1e39d0dfe16" xsi:nil="true"/>
    <lcf76f155ced4ddcb4097134ff3c332f xmlns="8ec2cf5d-ef57-41be-a36e-a97ea5d4bd8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056B2C02A77419734561102CCD71D" ma:contentTypeVersion="20" ma:contentTypeDescription="Create a new document." ma:contentTypeScope="" ma:versionID="adeb59657b424038bb4802401f653424">
  <xsd:schema xmlns:xsd="http://www.w3.org/2001/XMLSchema" xmlns:xs="http://www.w3.org/2001/XMLSchema" xmlns:p="http://schemas.microsoft.com/office/2006/metadata/properties" xmlns:ns2="8ec2cf5d-ef57-41be-a36e-a97ea5d4bd8d" xmlns:ns3="66658e94-0e53-4e3f-945b-f1e39d0dfe16" targetNamespace="http://schemas.microsoft.com/office/2006/metadata/properties" ma:root="true" ma:fieldsID="06d53c355db5cc436824bb9c393682e9" ns2:_="" ns3:_="">
    <xsd:import namespace="8ec2cf5d-ef57-41be-a36e-a97ea5d4bd8d"/>
    <xsd:import namespace="66658e94-0e53-4e3f-945b-f1e39d0df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Reject_x0020_or_x0020_Accept_x0020_Candidate_MG_x0020_Review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cf5d-ef57-41be-a36e-a97ea5d4b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Reject_x0020_or_x0020_Accept_x0020_Candidate_MG_x0020_Review" ma:index="21" nillable="true" ma:displayName="Reject or Accept Candidate_MG Review" ma:default="1" ma:internalName="Reject_x0020_or_x0020_Accept_x0020_Candidate_MG_x0020_Review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d1c8e54-2ef6-49df-852d-8863a3645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8e94-0e53-4e3f-945b-f1e39d0df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99da26e-ddd7-4348-8e47-f420ef3d1678}" ma:internalName="TaxCatchAll" ma:showField="CatchAllData" ma:web="66658e94-0e53-4e3f-945b-f1e39d0df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7D7FD-D09F-42A7-B42E-5AFA823FB6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2DDC78-C4BB-44C8-A38D-42DBFAC30E9F}">
  <ds:schemaRefs>
    <ds:schemaRef ds:uri="http://schemas.microsoft.com/office/2006/metadata/properties"/>
    <ds:schemaRef ds:uri="http://schemas.microsoft.com/office/infopath/2007/PartnerControls"/>
    <ds:schemaRef ds:uri="8ec2cf5d-ef57-41be-a36e-a97ea5d4bd8d"/>
    <ds:schemaRef ds:uri="66658e94-0e53-4e3f-945b-f1e39d0dfe16"/>
  </ds:schemaRefs>
</ds:datastoreItem>
</file>

<file path=customXml/itemProps3.xml><?xml version="1.0" encoding="utf-8"?>
<ds:datastoreItem xmlns:ds="http://schemas.openxmlformats.org/officeDocument/2006/customXml" ds:itemID="{65BE97F6-5F54-4552-8104-2BD0E3A7B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cf5d-ef57-41be-a36e-a97ea5d4bd8d"/>
    <ds:schemaRef ds:uri="66658e94-0e53-4e3f-945b-f1e39d0df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Tariffs Inputs</vt:lpstr>
      <vt:lpstr>Flat Tariff Dashboard</vt:lpstr>
      <vt:lpstr>TOU Tariff Dashboard</vt:lpstr>
      <vt:lpstr>Domestic FlatTariff comparison </vt:lpstr>
      <vt:lpstr>SPU Flat Tariff comparison</vt:lpstr>
      <vt:lpstr>LPU Flat Tariff comparison</vt:lpstr>
      <vt:lpstr>TOU Tariff Comparison LS</vt:lpstr>
      <vt:lpstr>TOU Tariff Comparison HS</vt:lpstr>
      <vt:lpstr>TOU Year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Gower</dc:creator>
  <cp:lastModifiedBy>Nick Sims | Sustainable Energy Africa</cp:lastModifiedBy>
  <dcterms:created xsi:type="dcterms:W3CDTF">2025-10-13T05:25:03Z</dcterms:created>
  <dcterms:modified xsi:type="dcterms:W3CDTF">2026-02-25T07:58:37Z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0x01010029C056B2C02A77419734561102CCD71D</vt:lpwstr>
  </property>
</Properties>
</file>