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threadedComments/threadedComment2.xml" ContentType="application/vnd.ms-excel.threadedcomments+xml"/>
  <Override PartName="/xl/comments4.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sustainable605.sharepoint.com/sites/SustainableEnergyAfrica/Shared Documents/Projects_SEA/144 GIZ CoS/Training and workshops/Assets Webinar/"/>
    </mc:Choice>
  </mc:AlternateContent>
  <xr:revisionPtr revIDLastSave="0" documentId="8_{6FEB8235-CF12-4959-9E5B-34591A4E006E}" xr6:coauthVersionLast="47" xr6:coauthVersionMax="47" xr10:uidLastSave="{00000000-0000-0000-0000-000000000000}"/>
  <bookViews>
    <workbookView xWindow="-28920" yWindow="-120" windowWidth="29040" windowHeight="15720" firstSheet="2" activeTab="2" xr2:uid="{05A046A0-CE73-441D-B068-77C8E3609D3D}"/>
  </bookViews>
  <sheets>
    <sheet name="How to use" sheetId="11" r:id="rId1"/>
    <sheet name="Generic Diagram" sheetId="3" r:id="rId2"/>
    <sheet name="1. Inputs" sheetId="1" r:id="rId3"/>
    <sheet name="2. Asset Qty Calc" sheetId="6" r:id="rId4"/>
    <sheet name="3. Asset Cost Calc" sheetId="2" r:id="rId5"/>
    <sheet name="4.Escalation" sheetId="10" r:id="rId6"/>
    <sheet name="Detail costing substation works" sheetId="4" r:id="rId7"/>
    <sheet name="Detail costing retic" sheetId="5" r:id="rId8"/>
    <sheet name="Detail costing OHL" sheetId="9"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0" i="10" l="1"/>
  <c r="E40" i="10"/>
  <c r="F39" i="10"/>
  <c r="F41" i="10" s="1"/>
  <c r="E39" i="10"/>
  <c r="F45" i="10"/>
  <c r="E45" i="10"/>
  <c r="F47" i="10" l="1"/>
  <c r="F50" i="10" s="1"/>
  <c r="D24" i="10" s="1"/>
  <c r="E41" i="10"/>
  <c r="E47" i="10" s="1"/>
  <c r="E50" i="10" s="1"/>
  <c r="C24" i="10" s="1"/>
  <c r="D11" i="4" l="1"/>
  <c r="V15" i="6" l="1"/>
  <c r="R15" i="6"/>
  <c r="N15" i="6"/>
  <c r="J15" i="6"/>
  <c r="U113" i="4"/>
  <c r="F7" i="10" l="1"/>
  <c r="G7" i="10"/>
  <c r="F8" i="10"/>
  <c r="G8" i="10"/>
  <c r="F9" i="10"/>
  <c r="G9" i="10"/>
  <c r="G6" i="10"/>
  <c r="F6" i="10"/>
  <c r="D28" i="2" l="1"/>
  <c r="W25" i="6"/>
  <c r="S25" i="6"/>
  <c r="O25" i="6"/>
  <c r="K25" i="6"/>
  <c r="G25" i="6"/>
  <c r="W57" i="6"/>
  <c r="W38" i="6"/>
  <c r="W35" i="6"/>
  <c r="W17" i="6"/>
  <c r="U17" i="6"/>
  <c r="W9" i="6"/>
  <c r="W8" i="6"/>
  <c r="X8" i="6" s="1"/>
  <c r="W11" i="6" s="1"/>
  <c r="S57" i="6"/>
  <c r="S38" i="6"/>
  <c r="S35" i="6"/>
  <c r="S17" i="6"/>
  <c r="Q17" i="6"/>
  <c r="S9" i="6"/>
  <c r="S8" i="6"/>
  <c r="T8" i="6" s="1"/>
  <c r="S11" i="6" s="1"/>
  <c r="O57" i="6"/>
  <c r="O38" i="6"/>
  <c r="O35" i="6"/>
  <c r="O17" i="6"/>
  <c r="M17" i="6"/>
  <c r="O9" i="6"/>
  <c r="O8" i="6"/>
  <c r="P8" i="6" s="1"/>
  <c r="O11" i="6" s="1"/>
  <c r="K57" i="6"/>
  <c r="K38" i="6"/>
  <c r="K35" i="6"/>
  <c r="K17" i="6"/>
  <c r="I17" i="6"/>
  <c r="K9" i="6"/>
  <c r="K8" i="6"/>
  <c r="L8" i="6" s="1"/>
  <c r="K11" i="6" s="1"/>
  <c r="D11" i="2"/>
  <c r="D10" i="2"/>
  <c r="G17" i="6"/>
  <c r="E17" i="6"/>
  <c r="G9" i="6"/>
  <c r="G57" i="6"/>
  <c r="G38" i="6"/>
  <c r="G8" i="6"/>
  <c r="H8" i="6" s="1"/>
  <c r="D8" i="6" s="1"/>
  <c r="H11" i="1"/>
  <c r="H12" i="1"/>
  <c r="H10" i="1"/>
  <c r="E36" i="5"/>
  <c r="E42" i="5" s="1"/>
  <c r="D32" i="5"/>
  <c r="E32" i="5"/>
  <c r="E31" i="5"/>
  <c r="D31" i="5"/>
  <c r="E26" i="5"/>
  <c r="D26" i="5"/>
  <c r="E24" i="5"/>
  <c r="D24" i="5"/>
  <c r="O19" i="5"/>
  <c r="D18" i="5"/>
  <c r="E18" i="5"/>
  <c r="D19" i="5"/>
  <c r="E19" i="5"/>
  <c r="E17" i="5"/>
  <c r="D17" i="5"/>
  <c r="E13" i="5"/>
  <c r="E14" i="5"/>
  <c r="D14" i="5"/>
  <c r="D13" i="5"/>
  <c r="E12" i="5"/>
  <c r="D12" i="5"/>
  <c r="E11" i="5"/>
  <c r="D11" i="5"/>
  <c r="D16" i="4"/>
  <c r="E16" i="4"/>
  <c r="D17" i="4"/>
  <c r="E17" i="4"/>
  <c r="E15" i="4"/>
  <c r="D15" i="4"/>
  <c r="M132" i="4"/>
  <c r="K125" i="4"/>
  <c r="E94" i="4"/>
  <c r="D94" i="4"/>
  <c r="G11" i="6" l="1"/>
  <c r="R12" i="6"/>
  <c r="N12" i="6"/>
  <c r="J12" i="6"/>
  <c r="H9" i="6"/>
  <c r="F30" i="6" s="1"/>
  <c r="V12" i="6"/>
  <c r="X11" i="6"/>
  <c r="X9" i="6"/>
  <c r="T9" i="6"/>
  <c r="P9" i="6"/>
  <c r="L9" i="6"/>
  <c r="F12" i="6"/>
  <c r="F11" i="6" l="1"/>
  <c r="H12" i="6"/>
  <c r="X14" i="6"/>
  <c r="X34" i="6"/>
  <c r="X13" i="6"/>
  <c r="X21" i="6"/>
  <c r="X31" i="6"/>
  <c r="X59" i="6"/>
  <c r="X15" i="6"/>
  <c r="X54" i="6"/>
  <c r="X27" i="6"/>
  <c r="V28" i="6" s="1"/>
  <c r="X28" i="6" s="1"/>
  <c r="X48" i="6"/>
  <c r="X50" i="6"/>
  <c r="X17" i="6"/>
  <c r="V20" i="6" s="1"/>
  <c r="X20" i="6" s="1"/>
  <c r="X60" i="6"/>
  <c r="X42" i="6"/>
  <c r="X37" i="6"/>
  <c r="V38" i="6" s="1"/>
  <c r="X38" i="6" s="1"/>
  <c r="X29" i="6"/>
  <c r="X30" i="6"/>
  <c r="X19" i="6"/>
  <c r="X18" i="6"/>
  <c r="X25" i="6"/>
  <c r="V30" i="6"/>
  <c r="V11" i="6"/>
  <c r="R30" i="6"/>
  <c r="R11" i="6"/>
  <c r="N11" i="6"/>
  <c r="N30" i="6"/>
  <c r="J30" i="6"/>
  <c r="J11" i="6"/>
  <c r="X12" i="6"/>
  <c r="V14" i="6" s="1"/>
  <c r="U55" i="6"/>
  <c r="X55" i="6" s="1"/>
  <c r="T11" i="6"/>
  <c r="T14" i="6" s="1"/>
  <c r="T12" i="6"/>
  <c r="D9" i="6"/>
  <c r="P12" i="6"/>
  <c r="P11" i="6"/>
  <c r="P14" i="6" s="1"/>
  <c r="L11" i="6"/>
  <c r="L14" i="6" s="1"/>
  <c r="L12" i="6"/>
  <c r="E24" i="4"/>
  <c r="E23" i="4"/>
  <c r="E11" i="4"/>
  <c r="AB14" i="4"/>
  <c r="W14" i="4"/>
  <c r="S14" i="4"/>
  <c r="O14" i="4"/>
  <c r="E13" i="4"/>
  <c r="D13" i="4"/>
  <c r="V35" i="6" l="1"/>
  <c r="X35" i="6" s="1"/>
  <c r="V36" i="6" s="1"/>
  <c r="X36" i="6" s="1"/>
  <c r="V41" i="6" s="1"/>
  <c r="X41" i="6" s="1"/>
  <c r="V22" i="6"/>
  <c r="X22" i="6" s="1"/>
  <c r="V32" i="6"/>
  <c r="X32" i="6" s="1"/>
  <c r="V24" i="6"/>
  <c r="V23" i="6"/>
  <c r="V40" i="6"/>
  <c r="V51" i="6"/>
  <c r="X51" i="6" s="1"/>
  <c r="V49" i="6"/>
  <c r="X49" i="6" s="1"/>
  <c r="V43" i="6"/>
  <c r="X43" i="6" s="1"/>
  <c r="V39" i="6"/>
  <c r="P15" i="6"/>
  <c r="T15" i="6"/>
  <c r="T25" i="6"/>
  <c r="T34" i="6"/>
  <c r="T50" i="6"/>
  <c r="T29" i="6"/>
  <c r="T17" i="6"/>
  <c r="T19" i="6"/>
  <c r="T18" i="6"/>
  <c r="T42" i="6"/>
  <c r="T30" i="6"/>
  <c r="T59" i="6"/>
  <c r="T27" i="6"/>
  <c r="R28" i="6" s="1"/>
  <c r="T48" i="6"/>
  <c r="T60" i="6"/>
  <c r="T37" i="6"/>
  <c r="R38" i="6" s="1"/>
  <c r="T21" i="6"/>
  <c r="T54" i="6"/>
  <c r="T13" i="6"/>
  <c r="T31" i="6"/>
  <c r="L25" i="6"/>
  <c r="P25" i="6"/>
  <c r="P60" i="6"/>
  <c r="P34" i="6"/>
  <c r="P18" i="6"/>
  <c r="P29" i="6"/>
  <c r="P13" i="6"/>
  <c r="P59" i="6"/>
  <c r="P54" i="6"/>
  <c r="P27" i="6"/>
  <c r="N28" i="6" s="1"/>
  <c r="P17" i="6"/>
  <c r="P31" i="6"/>
  <c r="P50" i="6"/>
  <c r="P42" i="6"/>
  <c r="P30" i="6"/>
  <c r="P48" i="6"/>
  <c r="P19" i="6"/>
  <c r="P37" i="6"/>
  <c r="N38" i="6" s="1"/>
  <c r="P21" i="6"/>
  <c r="N22" i="6" s="1"/>
  <c r="D12" i="6"/>
  <c r="L60" i="6"/>
  <c r="L34" i="6"/>
  <c r="L18" i="6"/>
  <c r="L13" i="6"/>
  <c r="L59" i="6"/>
  <c r="L54" i="6"/>
  <c r="L27" i="6"/>
  <c r="J28" i="6" s="1"/>
  <c r="L17" i="6"/>
  <c r="L37" i="6"/>
  <c r="J38" i="6" s="1"/>
  <c r="L42" i="6"/>
  <c r="L30" i="6"/>
  <c r="L48" i="6"/>
  <c r="L19" i="6"/>
  <c r="L31" i="6"/>
  <c r="L50" i="6"/>
  <c r="L21" i="6"/>
  <c r="J22" i="6" s="1"/>
  <c r="L29" i="6"/>
  <c r="E18" i="10"/>
  <c r="E19" i="10"/>
  <c r="E20" i="10"/>
  <c r="E21" i="10" s="1"/>
  <c r="E22" i="10" s="1"/>
  <c r="E23" i="10" s="1"/>
  <c r="E24" i="10" s="1"/>
  <c r="E25" i="10" s="1"/>
  <c r="E26" i="10" s="1"/>
  <c r="E27" i="10" s="1"/>
  <c r="E28" i="10" s="1"/>
  <c r="E17" i="10"/>
  <c r="E16" i="10"/>
  <c r="F18" i="10"/>
  <c r="F19" i="10" s="1"/>
  <c r="F20" i="10" s="1"/>
  <c r="F21" i="10" s="1"/>
  <c r="F22" i="10" s="1"/>
  <c r="F23" i="10" s="1"/>
  <c r="F24" i="10" s="1"/>
  <c r="F25" i="10" s="1"/>
  <c r="F26" i="10" s="1"/>
  <c r="F27" i="10" s="1"/>
  <c r="F28" i="10" s="1"/>
  <c r="E3" i="9" s="1"/>
  <c r="G18" i="10"/>
  <c r="G19" i="10"/>
  <c r="G20" i="10" s="1"/>
  <c r="G21" i="10" s="1"/>
  <c r="G22" i="10" s="1"/>
  <c r="G23" i="10" s="1"/>
  <c r="G17" i="10"/>
  <c r="F17" i="10"/>
  <c r="G16" i="10"/>
  <c r="F16" i="10"/>
  <c r="H96" i="9"/>
  <c r="I81" i="9"/>
  <c r="I80" i="9"/>
  <c r="I79" i="9"/>
  <c r="H60" i="9"/>
  <c r="H59" i="9"/>
  <c r="H58" i="9"/>
  <c r="I103" i="9"/>
  <c r="G35" i="6"/>
  <c r="V53" i="6" l="1"/>
  <c r="X53" i="6" s="1"/>
  <c r="V52" i="6"/>
  <c r="X52" i="6" s="1"/>
  <c r="V56" i="6"/>
  <c r="X56" i="6" s="1"/>
  <c r="V57" i="6" s="1"/>
  <c r="X57" i="6" s="1"/>
  <c r="V45" i="6"/>
  <c r="V44" i="6"/>
  <c r="V46" i="6"/>
  <c r="X46" i="6" s="1"/>
  <c r="R20" i="6"/>
  <c r="T20" i="6" s="1"/>
  <c r="R22" i="6"/>
  <c r="T22" i="6" s="1"/>
  <c r="R14" i="6"/>
  <c r="R35" i="6"/>
  <c r="N20" i="6"/>
  <c r="P20" i="6" s="1"/>
  <c r="N14" i="6"/>
  <c r="N35" i="6"/>
  <c r="J20" i="6"/>
  <c r="L20" i="6" s="1"/>
  <c r="J14" i="6"/>
  <c r="J35" i="6"/>
  <c r="T38" i="6"/>
  <c r="Q55" i="6"/>
  <c r="T55" i="6" s="1"/>
  <c r="T28" i="6"/>
  <c r="P28" i="6"/>
  <c r="N32" i="6" s="1"/>
  <c r="P38" i="6"/>
  <c r="L15" i="6"/>
  <c r="L38" i="6"/>
  <c r="L28" i="6"/>
  <c r="P22" i="6"/>
  <c r="M55" i="6"/>
  <c r="P55" i="6" s="1"/>
  <c r="I55" i="6"/>
  <c r="L55" i="6" s="1"/>
  <c r="L22" i="6"/>
  <c r="H34" i="5"/>
  <c r="H30" i="5"/>
  <c r="H24" i="5"/>
  <c r="H109" i="4"/>
  <c r="H105" i="4"/>
  <c r="H103" i="4"/>
  <c r="H98" i="4"/>
  <c r="H85" i="4"/>
  <c r="H77" i="4"/>
  <c r="H67" i="4"/>
  <c r="H59" i="4"/>
  <c r="H49" i="4"/>
  <c r="H41" i="4"/>
  <c r="H31" i="4"/>
  <c r="H23" i="4"/>
  <c r="H12" i="4"/>
  <c r="H39" i="5"/>
  <c r="H54" i="5"/>
  <c r="H48" i="5"/>
  <c r="H42" i="5"/>
  <c r="H18" i="5"/>
  <c r="H125" i="4"/>
  <c r="H116" i="4"/>
  <c r="H84" i="4"/>
  <c r="H76" i="4"/>
  <c r="H66" i="4"/>
  <c r="H58" i="4"/>
  <c r="H48" i="4"/>
  <c r="H40" i="4"/>
  <c r="H30" i="4"/>
  <c r="H22" i="4"/>
  <c r="H11" i="4"/>
  <c r="H53" i="5"/>
  <c r="H14" i="5"/>
  <c r="H122" i="4"/>
  <c r="H82" i="4"/>
  <c r="H46" i="4"/>
  <c r="H26" i="5"/>
  <c r="H119" i="4"/>
  <c r="H63" i="4"/>
  <c r="H27" i="4"/>
  <c r="H118" i="4"/>
  <c r="H88" i="4"/>
  <c r="H34" i="4"/>
  <c r="H33" i="5"/>
  <c r="H27" i="5"/>
  <c r="H23" i="5"/>
  <c r="H108" i="4"/>
  <c r="H104" i="4"/>
  <c r="H97" i="4"/>
  <c r="H91" i="4"/>
  <c r="H83" i="4"/>
  <c r="H75" i="4"/>
  <c r="H65" i="4"/>
  <c r="H57" i="4"/>
  <c r="H47" i="4"/>
  <c r="H39" i="4"/>
  <c r="H29" i="4"/>
  <c r="H21" i="4"/>
  <c r="H57" i="5"/>
  <c r="H17" i="5"/>
  <c r="H128" i="4"/>
  <c r="H74" i="4"/>
  <c r="H38" i="4"/>
  <c r="H17" i="4"/>
  <c r="H22" i="5"/>
  <c r="H45" i="4"/>
  <c r="H56" i="5"/>
  <c r="H12" i="5"/>
  <c r="H80" i="4"/>
  <c r="H44" i="4"/>
  <c r="H56" i="4"/>
  <c r="H36" i="5"/>
  <c r="H107" i="4"/>
  <c r="H73" i="4"/>
  <c r="H41" i="5"/>
  <c r="H114" i="4"/>
  <c r="H62" i="4"/>
  <c r="H35" i="5"/>
  <c r="H31" i="5"/>
  <c r="H25" i="5"/>
  <c r="H11" i="5"/>
  <c r="H110" i="4"/>
  <c r="H106" i="4"/>
  <c r="H94" i="4"/>
  <c r="H87" i="4"/>
  <c r="H79" i="4"/>
  <c r="H71" i="4"/>
  <c r="H61" i="4"/>
  <c r="H51" i="4"/>
  <c r="H43" i="4"/>
  <c r="H33" i="4"/>
  <c r="H25" i="4"/>
  <c r="H14" i="4"/>
  <c r="H81" i="4"/>
  <c r="H35" i="4"/>
  <c r="H52" i="5"/>
  <c r="H127" i="4"/>
  <c r="H99" i="4"/>
  <c r="H52" i="4"/>
  <c r="H15" i="4"/>
  <c r="H40" i="5"/>
  <c r="H55" i="5"/>
  <c r="H51" i="5"/>
  <c r="H45" i="5"/>
  <c r="H19" i="5"/>
  <c r="H126" i="4"/>
  <c r="H117" i="4"/>
  <c r="H113" i="4"/>
  <c r="H100" i="4"/>
  <c r="H86" i="4"/>
  <c r="H78" i="4"/>
  <c r="H68" i="4"/>
  <c r="H60" i="4"/>
  <c r="H50" i="4"/>
  <c r="H42" i="4"/>
  <c r="H32" i="4"/>
  <c r="H24" i="4"/>
  <c r="H13" i="4"/>
  <c r="H47" i="5"/>
  <c r="H115" i="4"/>
  <c r="H90" i="4"/>
  <c r="H64" i="4"/>
  <c r="H28" i="4"/>
  <c r="H32" i="5"/>
  <c r="H13" i="5"/>
  <c r="H89" i="4"/>
  <c r="H55" i="4"/>
  <c r="H16" i="4"/>
  <c r="H46" i="5"/>
  <c r="H72" i="4"/>
  <c r="H26" i="4"/>
  <c r="G24" i="10"/>
  <c r="G25" i="10" s="1"/>
  <c r="G26" i="10" s="1"/>
  <c r="G27" i="10" s="1"/>
  <c r="G28" i="10" s="1"/>
  <c r="J164" i="9"/>
  <c r="J35" i="9"/>
  <c r="J40" i="9"/>
  <c r="I34" i="9"/>
  <c r="H38" i="9"/>
  <c r="I8" i="9"/>
  <c r="H8" i="9"/>
  <c r="E10" i="2" l="1"/>
  <c r="F10" i="2" s="1"/>
  <c r="D3" i="9"/>
  <c r="V61" i="6"/>
  <c r="V64" i="6"/>
  <c r="X64" i="6" s="1"/>
  <c r="R32" i="6"/>
  <c r="T32" i="6" s="1"/>
  <c r="R51" i="6"/>
  <c r="R49" i="6"/>
  <c r="R43" i="6"/>
  <c r="T43" i="6" s="1"/>
  <c r="N51" i="6"/>
  <c r="P51" i="6" s="1"/>
  <c r="N56" i="6" s="1"/>
  <c r="P56" i="6" s="1"/>
  <c r="N57" i="6" s="1"/>
  <c r="N43" i="6"/>
  <c r="P43" i="6" s="1"/>
  <c r="N49" i="6"/>
  <c r="J51" i="6"/>
  <c r="J32" i="6"/>
  <c r="J43" i="6"/>
  <c r="J49" i="6"/>
  <c r="L49" i="6" s="1"/>
  <c r="R23" i="6"/>
  <c r="R24" i="6"/>
  <c r="R39" i="6"/>
  <c r="T39" i="6" s="1"/>
  <c r="R40" i="6"/>
  <c r="T40" i="6" s="1"/>
  <c r="P32" i="6"/>
  <c r="N39" i="6"/>
  <c r="P39" i="6" s="1"/>
  <c r="N40" i="6"/>
  <c r="P40" i="6" s="1"/>
  <c r="N23" i="6"/>
  <c r="P23" i="6" s="1"/>
  <c r="N24" i="6"/>
  <c r="P24" i="6" s="1"/>
  <c r="J23" i="6"/>
  <c r="L23" i="6" s="1"/>
  <c r="J24" i="6"/>
  <c r="L24" i="6" s="1"/>
  <c r="J39" i="6"/>
  <c r="L39" i="6" s="1"/>
  <c r="J40" i="6"/>
  <c r="L40" i="6" s="1"/>
  <c r="P49" i="6"/>
  <c r="T51" i="6"/>
  <c r="R56" i="6" s="1"/>
  <c r="T49" i="6"/>
  <c r="T35" i="6"/>
  <c r="R36" i="6" s="1"/>
  <c r="T36" i="6" s="1"/>
  <c r="R41" i="6" s="1"/>
  <c r="P35" i="6"/>
  <c r="N36" i="6" s="1"/>
  <c r="L35" i="6"/>
  <c r="J36" i="6" s="1"/>
  <c r="L43" i="6"/>
  <c r="L51" i="6"/>
  <c r="J56" i="6" s="1"/>
  <c r="L56" i="6" s="1"/>
  <c r="J57" i="6" s="1"/>
  <c r="L32" i="6"/>
  <c r="G40" i="5"/>
  <c r="I40" i="5" s="1"/>
  <c r="G55" i="5"/>
  <c r="I55" i="5" s="1"/>
  <c r="G51" i="5"/>
  <c r="I51" i="5" s="1"/>
  <c r="G45" i="5"/>
  <c r="I45" i="5" s="1"/>
  <c r="G19" i="5"/>
  <c r="I19" i="5" s="1"/>
  <c r="G13" i="5"/>
  <c r="I13" i="5" s="1"/>
  <c r="G126" i="4"/>
  <c r="I126" i="4" s="1"/>
  <c r="G117" i="4"/>
  <c r="I117" i="4" s="1"/>
  <c r="G113" i="4"/>
  <c r="I113" i="4" s="1"/>
  <c r="G77" i="4"/>
  <c r="I77" i="4" s="1"/>
  <c r="G85" i="4"/>
  <c r="I85" i="4" s="1"/>
  <c r="G27" i="5"/>
  <c r="I27" i="5" s="1"/>
  <c r="G34" i="5"/>
  <c r="I34" i="5" s="1"/>
  <c r="G30" i="5"/>
  <c r="G24" i="5"/>
  <c r="I24" i="5" s="1"/>
  <c r="G12" i="5"/>
  <c r="I12" i="5" s="1"/>
  <c r="G109" i="4"/>
  <c r="I109" i="4" s="1"/>
  <c r="G105" i="4"/>
  <c r="I105" i="4" s="1"/>
  <c r="G103" i="4"/>
  <c r="I103" i="4" s="1"/>
  <c r="G98" i="4"/>
  <c r="I98" i="4" s="1"/>
  <c r="G78" i="4"/>
  <c r="I78" i="4" s="1"/>
  <c r="G86" i="4"/>
  <c r="I86" i="4" s="1"/>
  <c r="G23" i="5"/>
  <c r="G104" i="4"/>
  <c r="I104" i="4" s="1"/>
  <c r="G80" i="4"/>
  <c r="I80" i="4" s="1"/>
  <c r="G17" i="5"/>
  <c r="I17" i="5" s="1"/>
  <c r="G122" i="4"/>
  <c r="I122" i="4" s="1"/>
  <c r="G36" i="5"/>
  <c r="I36" i="5" s="1"/>
  <c r="G39" i="5"/>
  <c r="I39" i="5" s="1"/>
  <c r="G54" i="5"/>
  <c r="I54" i="5" s="1"/>
  <c r="G48" i="5"/>
  <c r="I48" i="5" s="1"/>
  <c r="G42" i="5"/>
  <c r="I42" i="5" s="1"/>
  <c r="G18" i="5"/>
  <c r="I18" i="5" s="1"/>
  <c r="G11" i="5"/>
  <c r="I11" i="5" s="1"/>
  <c r="G125" i="4"/>
  <c r="I125" i="4" s="1"/>
  <c r="L125" i="4" s="1"/>
  <c r="G116" i="4"/>
  <c r="I116" i="4" s="1"/>
  <c r="G11" i="4"/>
  <c r="I11" i="4" s="1"/>
  <c r="G79" i="4"/>
  <c r="I79" i="4" s="1"/>
  <c r="G87" i="4"/>
  <c r="I87" i="4" s="1"/>
  <c r="G33" i="5"/>
  <c r="I33" i="5" s="1"/>
  <c r="G97" i="4"/>
  <c r="I97" i="4" s="1"/>
  <c r="G88" i="4"/>
  <c r="I88" i="4" s="1"/>
  <c r="G53" i="5"/>
  <c r="I53" i="5" s="1"/>
  <c r="G128" i="4"/>
  <c r="I128" i="4" s="1"/>
  <c r="G99" i="4"/>
  <c r="I99" i="4" s="1"/>
  <c r="G89" i="4"/>
  <c r="I89" i="4" s="1"/>
  <c r="G81" i="4"/>
  <c r="I81" i="4" s="1"/>
  <c r="G119" i="4"/>
  <c r="G74" i="4"/>
  <c r="I74" i="4" s="1"/>
  <c r="G41" i="5"/>
  <c r="I41" i="5" s="1"/>
  <c r="G56" i="5"/>
  <c r="I56" i="5" s="1"/>
  <c r="G52" i="5"/>
  <c r="I52" i="5" s="1"/>
  <c r="G46" i="5"/>
  <c r="I46" i="5" s="1"/>
  <c r="G127" i="4"/>
  <c r="I127" i="4" s="1"/>
  <c r="G118" i="4"/>
  <c r="I118" i="4" s="1"/>
  <c r="G114" i="4"/>
  <c r="I114" i="4" s="1"/>
  <c r="G100" i="4"/>
  <c r="I100" i="4" s="1"/>
  <c r="G75" i="4"/>
  <c r="I75" i="4" s="1"/>
  <c r="G83" i="4"/>
  <c r="I83" i="4" s="1"/>
  <c r="G91" i="4"/>
  <c r="I91" i="4" s="1"/>
  <c r="G47" i="5"/>
  <c r="I47" i="5" s="1"/>
  <c r="G73" i="4"/>
  <c r="I73" i="4" s="1"/>
  <c r="G32" i="5"/>
  <c r="I32" i="5" s="1"/>
  <c r="G26" i="5"/>
  <c r="I26" i="5" s="1"/>
  <c r="G82" i="4"/>
  <c r="I82" i="4" s="1"/>
  <c r="G35" i="5"/>
  <c r="I35" i="5" s="1"/>
  <c r="G31" i="5"/>
  <c r="I31" i="5" s="1"/>
  <c r="G25" i="5"/>
  <c r="G14" i="5"/>
  <c r="I14" i="5" s="1"/>
  <c r="G110" i="4"/>
  <c r="I110" i="4" s="1"/>
  <c r="G106" i="4"/>
  <c r="I106" i="4" s="1"/>
  <c r="G94" i="4"/>
  <c r="I94" i="4" s="1"/>
  <c r="G76" i="4"/>
  <c r="I76" i="4" s="1"/>
  <c r="G84" i="4"/>
  <c r="I84" i="4" s="1"/>
  <c r="G71" i="4"/>
  <c r="I71" i="4" s="1"/>
  <c r="G108" i="4"/>
  <c r="I108" i="4" s="1"/>
  <c r="G72" i="4"/>
  <c r="I72" i="4" s="1"/>
  <c r="G57" i="5"/>
  <c r="I57" i="5" s="1"/>
  <c r="G115" i="4"/>
  <c r="I115" i="4" s="1"/>
  <c r="G22" i="5"/>
  <c r="G107" i="4"/>
  <c r="I107" i="4" s="1"/>
  <c r="G90" i="4"/>
  <c r="I90" i="4" s="1"/>
  <c r="G64" i="4"/>
  <c r="I64" i="4" s="1"/>
  <c r="G56" i="4"/>
  <c r="I56" i="4" s="1"/>
  <c r="G46" i="4"/>
  <c r="I46" i="4" s="1"/>
  <c r="G38" i="4"/>
  <c r="I38" i="4" s="1"/>
  <c r="G28" i="4"/>
  <c r="I28" i="4" s="1"/>
  <c r="G63" i="4"/>
  <c r="I63" i="4" s="1"/>
  <c r="G55" i="4"/>
  <c r="I55" i="4" s="1"/>
  <c r="G45" i="4"/>
  <c r="I45" i="4" s="1"/>
  <c r="G35" i="4"/>
  <c r="I35" i="4" s="1"/>
  <c r="G27" i="4"/>
  <c r="I27" i="4" s="1"/>
  <c r="G51" i="4"/>
  <c r="I51" i="4" s="1"/>
  <c r="G33" i="4"/>
  <c r="I33" i="4" s="1"/>
  <c r="G25" i="4"/>
  <c r="I25" i="4" s="1"/>
  <c r="G24" i="4"/>
  <c r="I24" i="4" s="1"/>
  <c r="G59" i="4"/>
  <c r="I59" i="4" s="1"/>
  <c r="G41" i="4"/>
  <c r="I41" i="4" s="1"/>
  <c r="G23" i="4"/>
  <c r="I23" i="4" s="1"/>
  <c r="G58" i="4"/>
  <c r="I58" i="4" s="1"/>
  <c r="G48" i="4"/>
  <c r="I48" i="4" s="1"/>
  <c r="G30" i="4"/>
  <c r="I30" i="4" s="1"/>
  <c r="G65" i="4"/>
  <c r="I65" i="4" s="1"/>
  <c r="G47" i="4"/>
  <c r="I47" i="4" s="1"/>
  <c r="G29" i="4"/>
  <c r="I29" i="4" s="1"/>
  <c r="G62" i="4"/>
  <c r="I62" i="4" s="1"/>
  <c r="G52" i="4"/>
  <c r="I52" i="4" s="1"/>
  <c r="G44" i="4"/>
  <c r="I44" i="4" s="1"/>
  <c r="G34" i="4"/>
  <c r="I34" i="4" s="1"/>
  <c r="G26" i="4"/>
  <c r="I26" i="4" s="1"/>
  <c r="G61" i="4"/>
  <c r="I61" i="4" s="1"/>
  <c r="G43" i="4"/>
  <c r="I43" i="4" s="1"/>
  <c r="G32" i="4"/>
  <c r="I32" i="4" s="1"/>
  <c r="G67" i="4"/>
  <c r="I67" i="4" s="1"/>
  <c r="G49" i="4"/>
  <c r="I49" i="4" s="1"/>
  <c r="G31" i="4"/>
  <c r="I31" i="4" s="1"/>
  <c r="G66" i="4"/>
  <c r="I66" i="4" s="1"/>
  <c r="G40" i="4"/>
  <c r="I40" i="4" s="1"/>
  <c r="G22" i="4"/>
  <c r="I22" i="4" s="1"/>
  <c r="G57" i="4"/>
  <c r="I57" i="4" s="1"/>
  <c r="G39" i="4"/>
  <c r="I39" i="4" s="1"/>
  <c r="G21" i="4"/>
  <c r="I21" i="4" s="1"/>
  <c r="G68" i="4"/>
  <c r="I68" i="4" s="1"/>
  <c r="G60" i="4"/>
  <c r="I60" i="4" s="1"/>
  <c r="G50" i="4"/>
  <c r="I50" i="4" s="1"/>
  <c r="G42" i="4"/>
  <c r="I42" i="4" s="1"/>
  <c r="G16" i="4"/>
  <c r="I16" i="4" s="1"/>
  <c r="G17" i="4"/>
  <c r="I17" i="4" s="1"/>
  <c r="G15" i="4"/>
  <c r="I15" i="4" s="1"/>
  <c r="G14" i="4"/>
  <c r="I14" i="4" s="1"/>
  <c r="G12" i="4"/>
  <c r="I12" i="4" s="1"/>
  <c r="G13" i="4"/>
  <c r="I13" i="4" s="1"/>
  <c r="H139" i="9"/>
  <c r="H50" i="9"/>
  <c r="H49" i="9"/>
  <c r="H47" i="9"/>
  <c r="I101" i="9"/>
  <c r="I88" i="9"/>
  <c r="I68" i="9"/>
  <c r="I66" i="9"/>
  <c r="I69" i="9"/>
  <c r="I102" i="9"/>
  <c r="I140" i="9"/>
  <c r="I170" i="9" s="1"/>
  <c r="N11" i="5"/>
  <c r="N13" i="5" s="1"/>
  <c r="J13" i="5" s="1"/>
  <c r="D30" i="5"/>
  <c r="B1" i="1"/>
  <c r="F33" i="9" l="1"/>
  <c r="F66" i="9"/>
  <c r="F98" i="9"/>
  <c r="F132" i="9"/>
  <c r="F164" i="9"/>
  <c r="F34" i="9"/>
  <c r="F67" i="9"/>
  <c r="F99" i="9"/>
  <c r="F133" i="9"/>
  <c r="F170" i="9"/>
  <c r="F7" i="9"/>
  <c r="F36" i="9"/>
  <c r="F69" i="9"/>
  <c r="F101" i="9"/>
  <c r="F139" i="9"/>
  <c r="F172" i="9"/>
  <c r="F8" i="9"/>
  <c r="F37" i="9"/>
  <c r="F70" i="9"/>
  <c r="F102" i="9"/>
  <c r="F173" i="9"/>
  <c r="F71" i="9"/>
  <c r="F14" i="9"/>
  <c r="F146" i="9"/>
  <c r="F148" i="9" s="1"/>
  <c r="F15" i="9"/>
  <c r="F73" i="9"/>
  <c r="F105" i="9"/>
  <c r="F176" i="9"/>
  <c r="F16" i="9"/>
  <c r="F41" i="9"/>
  <c r="F106" i="9"/>
  <c r="F152" i="9"/>
  <c r="F177" i="9"/>
  <c r="F17" i="9"/>
  <c r="F47" i="9"/>
  <c r="F79" i="9"/>
  <c r="F112" i="9"/>
  <c r="F153" i="9"/>
  <c r="F178" i="9"/>
  <c r="F6" i="9"/>
  <c r="F35" i="9"/>
  <c r="F68" i="9"/>
  <c r="F100" i="9"/>
  <c r="F171" i="9"/>
  <c r="F140" i="9"/>
  <c r="F38" i="9"/>
  <c r="F103" i="9"/>
  <c r="F174" i="9"/>
  <c r="F39" i="9"/>
  <c r="F72" i="9"/>
  <c r="F104" i="9"/>
  <c r="F175" i="9"/>
  <c r="F40" i="9"/>
  <c r="F18" i="9"/>
  <c r="F48" i="9"/>
  <c r="F80" i="9"/>
  <c r="F113" i="9"/>
  <c r="F154" i="9"/>
  <c r="F20" i="9"/>
  <c r="F115" i="9"/>
  <c r="F156" i="9"/>
  <c r="F187" i="9"/>
  <c r="F51" i="9"/>
  <c r="F116" i="9"/>
  <c r="F188" i="9"/>
  <c r="F52" i="9"/>
  <c r="F23" i="9"/>
  <c r="F159" i="9"/>
  <c r="F24" i="9"/>
  <c r="F94" i="9"/>
  <c r="F160" i="9"/>
  <c r="F25" i="9"/>
  <c r="F95" i="9"/>
  <c r="F161" i="9"/>
  <c r="F26" i="9"/>
  <c r="F60" i="9"/>
  <c r="F96" i="9"/>
  <c r="F125" i="9"/>
  <c r="F162" i="9"/>
  <c r="F27" i="9"/>
  <c r="F97" i="9"/>
  <c r="F131" i="9"/>
  <c r="F163" i="9"/>
  <c r="F19" i="9"/>
  <c r="F49" i="9"/>
  <c r="F81" i="9"/>
  <c r="F114" i="9"/>
  <c r="F155" i="9"/>
  <c r="F186" i="9"/>
  <c r="F50" i="9"/>
  <c r="F21" i="9"/>
  <c r="F87" i="9"/>
  <c r="F157" i="9"/>
  <c r="F22" i="9"/>
  <c r="F88" i="9"/>
  <c r="F158" i="9"/>
  <c r="F122" i="9"/>
  <c r="F195" i="9"/>
  <c r="F58" i="9"/>
  <c r="F123" i="9"/>
  <c r="F196" i="9"/>
  <c r="F59" i="9"/>
  <c r="F124" i="9"/>
  <c r="J46" i="6"/>
  <c r="X61" i="6"/>
  <c r="V62" i="6" s="1"/>
  <c r="X62" i="6" s="1"/>
  <c r="V63" i="6" s="1"/>
  <c r="X63" i="6" s="1"/>
  <c r="R46" i="6"/>
  <c r="T46" i="6" s="1"/>
  <c r="N46" i="6"/>
  <c r="P46" i="6" s="1"/>
  <c r="R52" i="6"/>
  <c r="T52" i="6" s="1"/>
  <c r="R53" i="6"/>
  <c r="T53" i="6" s="1"/>
  <c r="R44" i="6"/>
  <c r="R45" i="6"/>
  <c r="N53" i="6"/>
  <c r="P53" i="6" s="1"/>
  <c r="N52" i="6"/>
  <c r="P52" i="6" s="1"/>
  <c r="N44" i="6"/>
  <c r="P44" i="6" s="1"/>
  <c r="N45" i="6"/>
  <c r="P45" i="6" s="1"/>
  <c r="J52" i="6"/>
  <c r="L52" i="6" s="1"/>
  <c r="J53" i="6"/>
  <c r="L53" i="6" s="1"/>
  <c r="J45" i="6"/>
  <c r="L45" i="6" s="1"/>
  <c r="J44" i="6"/>
  <c r="L44" i="6" s="1"/>
  <c r="I30" i="5"/>
  <c r="T41" i="6"/>
  <c r="T56" i="6"/>
  <c r="R57" i="6" s="1"/>
  <c r="P57" i="6"/>
  <c r="P36" i="6"/>
  <c r="N41" i="6" s="1"/>
  <c r="L36" i="6"/>
  <c r="J41" i="6" s="1"/>
  <c r="L46" i="6"/>
  <c r="L57" i="6"/>
  <c r="M136" i="4"/>
  <c r="B1" i="2"/>
  <c r="B1" i="6"/>
  <c r="I196" i="9"/>
  <c r="I178" i="9"/>
  <c r="I172" i="9"/>
  <c r="I175" i="9"/>
  <c r="I173" i="9"/>
  <c r="I171" i="9"/>
  <c r="I174" i="9"/>
  <c r="A1" i="4"/>
  <c r="A1" i="5"/>
  <c r="F10" i="9" l="1"/>
  <c r="F62" i="9"/>
  <c r="F198" i="9"/>
  <c r="F142" i="9"/>
  <c r="F191" i="9"/>
  <c r="F127" i="9"/>
  <c r="F29" i="9"/>
  <c r="F54" i="9"/>
  <c r="F166" i="9"/>
  <c r="F83" i="9"/>
  <c r="F90" i="9"/>
  <c r="F108" i="9"/>
  <c r="F180" i="9"/>
  <c r="F135" i="9"/>
  <c r="F75" i="9"/>
  <c r="F118" i="9"/>
  <c r="F43" i="9"/>
  <c r="I198" i="9"/>
  <c r="I199" i="9" s="1"/>
  <c r="N64" i="6"/>
  <c r="P64" i="6" s="1"/>
  <c r="N61" i="6"/>
  <c r="P61" i="6" s="1"/>
  <c r="J64" i="6"/>
  <c r="J61" i="6"/>
  <c r="L61" i="6" s="1"/>
  <c r="T57" i="6"/>
  <c r="P41" i="6"/>
  <c r="L64" i="6"/>
  <c r="L41" i="6"/>
  <c r="H11" i="6"/>
  <c r="D11" i="6" s="1"/>
  <c r="H198" i="9" l="1"/>
  <c r="H201" i="9" s="1"/>
  <c r="E18" i="2" s="1"/>
  <c r="J198" i="9"/>
  <c r="J199" i="9" s="1"/>
  <c r="I201" i="9"/>
  <c r="E34" i="2" s="1"/>
  <c r="E32" i="2"/>
  <c r="R64" i="6"/>
  <c r="T64" i="6" s="1"/>
  <c r="R61" i="6"/>
  <c r="N62" i="6"/>
  <c r="P62" i="6" s="1"/>
  <c r="N63" i="6" s="1"/>
  <c r="J62" i="6"/>
  <c r="L62" i="6" s="1"/>
  <c r="J63" i="6" s="1"/>
  <c r="H25" i="6"/>
  <c r="D25" i="6" s="1"/>
  <c r="H21" i="6"/>
  <c r="H19" i="6"/>
  <c r="H18" i="6"/>
  <c r="D18" i="6" s="1"/>
  <c r="H17" i="6"/>
  <c r="D17" i="6" s="1"/>
  <c r="H54" i="6"/>
  <c r="D54" i="6" s="1"/>
  <c r="H31" i="6"/>
  <c r="H13" i="6"/>
  <c r="F14" i="6" s="1"/>
  <c r="H29" i="6"/>
  <c r="D29" i="6" s="1"/>
  <c r="H30" i="6"/>
  <c r="D30" i="6" s="1"/>
  <c r="D24" i="2" s="1"/>
  <c r="H48" i="6"/>
  <c r="D48" i="6" s="1"/>
  <c r="H34" i="6"/>
  <c r="D34" i="6" s="1"/>
  <c r="H60" i="6"/>
  <c r="E55" i="6" s="1"/>
  <c r="H42" i="6"/>
  <c r="H27" i="6"/>
  <c r="D27" i="6" s="1"/>
  <c r="H37" i="6"/>
  <c r="H59" i="6"/>
  <c r="D59" i="6" s="1"/>
  <c r="H50" i="6"/>
  <c r="D50" i="6" s="1"/>
  <c r="H199" i="9" l="1"/>
  <c r="J201" i="9"/>
  <c r="E33" i="2" s="1"/>
  <c r="F199" i="9"/>
  <c r="H14" i="6"/>
  <c r="F35" i="6"/>
  <c r="T61" i="6"/>
  <c r="R62" i="6" s="1"/>
  <c r="P63" i="6"/>
  <c r="L63" i="6"/>
  <c r="D42" i="6"/>
  <c r="D21" i="6"/>
  <c r="F22" i="6"/>
  <c r="H22" i="6" s="1"/>
  <c r="D31" i="6"/>
  <c r="D8" i="2"/>
  <c r="D7" i="2"/>
  <c r="D19" i="6"/>
  <c r="F20" i="6"/>
  <c r="H20" i="6" s="1"/>
  <c r="D20" i="6" s="1"/>
  <c r="D13" i="6"/>
  <c r="F15" i="6"/>
  <c r="H15" i="6" s="1"/>
  <c r="D15" i="6" s="1"/>
  <c r="D12" i="2" s="1"/>
  <c r="F38" i="6"/>
  <c r="H38" i="6" s="1"/>
  <c r="F43" i="6" s="1"/>
  <c r="D37" i="6"/>
  <c r="H55" i="6"/>
  <c r="D55" i="6" s="1"/>
  <c r="F28" i="6"/>
  <c r="H28" i="6" s="1"/>
  <c r="D60" i="6"/>
  <c r="F32" i="6" l="1"/>
  <c r="H32" i="6" s="1"/>
  <c r="T62" i="6"/>
  <c r="R63" i="6" s="1"/>
  <c r="F39" i="6"/>
  <c r="H39" i="6" s="1"/>
  <c r="D39" i="6" s="1"/>
  <c r="D29" i="2" s="1"/>
  <c r="F40" i="6"/>
  <c r="H40" i="6" s="1"/>
  <c r="D40" i="6" s="1"/>
  <c r="D33" i="2" s="1"/>
  <c r="D22" i="6"/>
  <c r="F23" i="6"/>
  <c r="H23" i="6" s="1"/>
  <c r="D23" i="6" s="1"/>
  <c r="D17" i="2" s="1"/>
  <c r="F24" i="6"/>
  <c r="H24" i="6" s="1"/>
  <c r="D24" i="6" s="1"/>
  <c r="D18" i="2" s="1"/>
  <c r="D14" i="6"/>
  <c r="D9" i="2"/>
  <c r="D19" i="2"/>
  <c r="D14" i="2"/>
  <c r="D16" i="2" s="1"/>
  <c r="D15" i="2"/>
  <c r="H35" i="6"/>
  <c r="F36" i="6" s="1"/>
  <c r="D28" i="6"/>
  <c r="D38" i="6"/>
  <c r="H43" i="6"/>
  <c r="F49" i="6"/>
  <c r="F51" i="6"/>
  <c r="D35" i="6" l="1"/>
  <c r="F46" i="6"/>
  <c r="T63" i="6"/>
  <c r="D13" i="2"/>
  <c r="F44" i="6"/>
  <c r="H44" i="6" s="1"/>
  <c r="D44" i="6" s="1"/>
  <c r="D27" i="2" s="1"/>
  <c r="F45" i="6"/>
  <c r="H45" i="6" s="1"/>
  <c r="D45" i="6" s="1"/>
  <c r="D32" i="2" s="1"/>
  <c r="D25" i="2"/>
  <c r="D43" i="6"/>
  <c r="D32" i="6"/>
  <c r="D23" i="2" s="1"/>
  <c r="H49" i="6"/>
  <c r="D49" i="6" s="1"/>
  <c r="H51" i="6"/>
  <c r="F56" i="6" s="1"/>
  <c r="F52" i="6" l="1"/>
  <c r="H52" i="6" s="1"/>
  <c r="D52" i="6" s="1"/>
  <c r="D30" i="2" s="1"/>
  <c r="F53" i="6"/>
  <c r="H53" i="6" s="1"/>
  <c r="D53" i="6" s="1"/>
  <c r="D34" i="2" s="1"/>
  <c r="H56" i="6"/>
  <c r="F57" i="6" s="1"/>
  <c r="D51" i="6"/>
  <c r="H57" i="6" l="1"/>
  <c r="D56" i="6"/>
  <c r="D31" i="2" s="1"/>
  <c r="W63" i="5"/>
  <c r="V63" i="5"/>
  <c r="U63" i="5"/>
  <c r="T63" i="5"/>
  <c r="S63" i="5"/>
  <c r="R63" i="5"/>
  <c r="Q63" i="5"/>
  <c r="P63" i="5"/>
  <c r="O63" i="5"/>
  <c r="N63" i="5"/>
  <c r="M63" i="5"/>
  <c r="L63" i="5"/>
  <c r="J57" i="5"/>
  <c r="J55" i="5"/>
  <c r="J54" i="5"/>
  <c r="S52" i="5"/>
  <c r="S56" i="5" s="1"/>
  <c r="J56" i="5" s="1"/>
  <c r="K56" i="5" s="1"/>
  <c r="J51" i="5"/>
  <c r="J48" i="5"/>
  <c r="J47" i="5"/>
  <c r="J46" i="5"/>
  <c r="J45" i="5"/>
  <c r="J40" i="5"/>
  <c r="P39" i="5"/>
  <c r="P42" i="5" s="1"/>
  <c r="J42" i="5" s="1"/>
  <c r="J34" i="5"/>
  <c r="J33" i="5"/>
  <c r="L30" i="5"/>
  <c r="L36" i="5" s="1"/>
  <c r="J36" i="5" s="1"/>
  <c r="K36" i="5" s="1"/>
  <c r="J27" i="5"/>
  <c r="J26" i="5"/>
  <c r="J25" i="5"/>
  <c r="E25" i="5"/>
  <c r="I25" i="5" s="1"/>
  <c r="J24" i="5"/>
  <c r="J23" i="5"/>
  <c r="E23" i="5"/>
  <c r="I23" i="5" s="1"/>
  <c r="O22" i="5"/>
  <c r="N22" i="5"/>
  <c r="M22" i="5"/>
  <c r="E22" i="5"/>
  <c r="I22" i="5" s="1"/>
  <c r="J19" i="5"/>
  <c r="N18" i="5"/>
  <c r="J18" i="5" s="1"/>
  <c r="M17" i="5"/>
  <c r="N14" i="5"/>
  <c r="J14" i="5" s="1"/>
  <c r="N12" i="5"/>
  <c r="J12" i="5" s="1"/>
  <c r="AC132" i="4"/>
  <c r="AB132" i="4"/>
  <c r="AA132" i="4"/>
  <c r="Z132" i="4"/>
  <c r="Y132" i="4"/>
  <c r="X132" i="4"/>
  <c r="V132" i="4"/>
  <c r="T132" i="4"/>
  <c r="R132" i="4"/>
  <c r="Q132" i="4"/>
  <c r="P132" i="4"/>
  <c r="O132" i="4"/>
  <c r="N132" i="4"/>
  <c r="K128" i="4"/>
  <c r="K127" i="4"/>
  <c r="K126" i="4"/>
  <c r="K122" i="4"/>
  <c r="I119" i="4"/>
  <c r="U117" i="4"/>
  <c r="K117" i="4" s="1"/>
  <c r="U116" i="4"/>
  <c r="K116" i="4"/>
  <c r="K113" i="4"/>
  <c r="K110" i="4"/>
  <c r="K109" i="4"/>
  <c r="K108" i="4"/>
  <c r="K107" i="4"/>
  <c r="K106" i="4"/>
  <c r="W105" i="4"/>
  <c r="V105" i="4"/>
  <c r="T105" i="4"/>
  <c r="S105" i="4"/>
  <c r="R105" i="4"/>
  <c r="Q104" i="4"/>
  <c r="K104" i="4" s="1"/>
  <c r="K103" i="4"/>
  <c r="K100" i="4"/>
  <c r="K99" i="4"/>
  <c r="S98" i="4"/>
  <c r="O98" i="4"/>
  <c r="S97" i="4"/>
  <c r="O97" i="4"/>
  <c r="K91" i="4"/>
  <c r="K90" i="4"/>
  <c r="K89" i="4"/>
  <c r="K88" i="4"/>
  <c r="K87" i="4"/>
  <c r="K86" i="4"/>
  <c r="K85" i="4"/>
  <c r="K84" i="4"/>
  <c r="K83" i="4"/>
  <c r="K82" i="4"/>
  <c r="K81" i="4"/>
  <c r="K80" i="4"/>
  <c r="K79" i="4"/>
  <c r="K78" i="4"/>
  <c r="P77" i="4"/>
  <c r="N77" i="4"/>
  <c r="K76" i="4"/>
  <c r="K75" i="4"/>
  <c r="K74" i="4"/>
  <c r="K73" i="4"/>
  <c r="K72" i="4"/>
  <c r="K71" i="4"/>
  <c r="K68" i="4"/>
  <c r="K67" i="4"/>
  <c r="K66" i="4"/>
  <c r="K65" i="4"/>
  <c r="K64" i="4"/>
  <c r="K63" i="4"/>
  <c r="K62" i="4"/>
  <c r="K61" i="4"/>
  <c r="P60" i="4"/>
  <c r="P43" i="4" s="1"/>
  <c r="P26" i="4" s="1"/>
  <c r="N60" i="4"/>
  <c r="N43" i="4" s="1"/>
  <c r="N26" i="4" s="1"/>
  <c r="P59" i="4"/>
  <c r="P42" i="4" s="1"/>
  <c r="P25" i="4" s="1"/>
  <c r="N59" i="4"/>
  <c r="P58" i="4"/>
  <c r="P41" i="4" s="1"/>
  <c r="P24" i="4" s="1"/>
  <c r="O58" i="4"/>
  <c r="O60" i="4" s="1"/>
  <c r="N58" i="4"/>
  <c r="N41" i="4" s="1"/>
  <c r="N24" i="4" s="1"/>
  <c r="K57" i="4"/>
  <c r="P56" i="4"/>
  <c r="O56" i="4"/>
  <c r="O39" i="4" s="1"/>
  <c r="O22" i="4" s="1"/>
  <c r="N56" i="4"/>
  <c r="S55" i="4"/>
  <c r="S38" i="4" s="1"/>
  <c r="K38" i="4" s="1"/>
  <c r="K52" i="4"/>
  <c r="K51" i="4"/>
  <c r="K50" i="4"/>
  <c r="K49" i="4"/>
  <c r="K48" i="4"/>
  <c r="AB47" i="4"/>
  <c r="K47" i="4" s="1"/>
  <c r="K46" i="4"/>
  <c r="K45" i="4"/>
  <c r="K44" i="4"/>
  <c r="K40" i="4"/>
  <c r="K35" i="4"/>
  <c r="K34" i="4"/>
  <c r="K33" i="4"/>
  <c r="K32" i="4"/>
  <c r="K31" i="4"/>
  <c r="K29" i="4"/>
  <c r="K28" i="4"/>
  <c r="K27" i="4"/>
  <c r="K23" i="4"/>
  <c r="S17" i="4"/>
  <c r="O17" i="4"/>
  <c r="AB16" i="4"/>
  <c r="K16" i="4" s="1"/>
  <c r="W15" i="4"/>
  <c r="K15" i="4" s="1"/>
  <c r="AB11" i="4"/>
  <c r="AB13" i="4" s="1"/>
  <c r="W11" i="4"/>
  <c r="W12" i="4" s="1"/>
  <c r="S11" i="4"/>
  <c r="S13" i="4" s="1"/>
  <c r="O11" i="4"/>
  <c r="O12" i="4" s="1"/>
  <c r="U6" i="4"/>
  <c r="F61" i="6" l="1"/>
  <c r="H61" i="6" s="1"/>
  <c r="D57" i="6"/>
  <c r="F64" i="6"/>
  <c r="H64" i="6" s="1"/>
  <c r="D64" i="6" s="1"/>
  <c r="K59" i="4"/>
  <c r="AB30" i="4"/>
  <c r="K30" i="4" s="1"/>
  <c r="L57" i="4"/>
  <c r="L59" i="4"/>
  <c r="L82" i="4"/>
  <c r="L27" i="4"/>
  <c r="L31" i="4"/>
  <c r="L16" i="4"/>
  <c r="L40" i="4"/>
  <c r="K40" i="5"/>
  <c r="K47" i="5"/>
  <c r="K12" i="5"/>
  <c r="K46" i="5"/>
  <c r="K51" i="5"/>
  <c r="L30" i="4"/>
  <c r="L68" i="4"/>
  <c r="L83" i="4"/>
  <c r="L127" i="4"/>
  <c r="L103" i="4"/>
  <c r="L28" i="4"/>
  <c r="L91" i="4"/>
  <c r="L99" i="4"/>
  <c r="L126" i="4"/>
  <c r="L51" i="4"/>
  <c r="K17" i="4"/>
  <c r="L17" i="4" s="1"/>
  <c r="L50" i="4"/>
  <c r="L76" i="4"/>
  <c r="L81" i="4"/>
  <c r="L89" i="4"/>
  <c r="K55" i="5"/>
  <c r="J52" i="5"/>
  <c r="K52" i="5" s="1"/>
  <c r="J11" i="5"/>
  <c r="K11" i="5" s="1"/>
  <c r="K57" i="5"/>
  <c r="K19" i="5"/>
  <c r="K14" i="5"/>
  <c r="K45" i="5"/>
  <c r="K42" i="5"/>
  <c r="L32" i="4"/>
  <c r="L46" i="4"/>
  <c r="L122" i="4"/>
  <c r="L128" i="4"/>
  <c r="L15" i="4"/>
  <c r="L61" i="4"/>
  <c r="L71" i="4"/>
  <c r="L84" i="4"/>
  <c r="L100" i="4"/>
  <c r="L64" i="4"/>
  <c r="L90" i="4"/>
  <c r="L23" i="4"/>
  <c r="L45" i="4"/>
  <c r="L62" i="4"/>
  <c r="K11" i="4"/>
  <c r="L65" i="4"/>
  <c r="L75" i="4"/>
  <c r="K77" i="4"/>
  <c r="L77" i="4" s="1"/>
  <c r="L80" i="4"/>
  <c r="O43" i="4"/>
  <c r="O26" i="4" s="1"/>
  <c r="K26" i="4" s="1"/>
  <c r="L26" i="4" s="1"/>
  <c r="K60" i="4"/>
  <c r="L33" i="4"/>
  <c r="L38" i="4"/>
  <c r="N42" i="4"/>
  <c r="L66" i="4"/>
  <c r="L86" i="4"/>
  <c r="L88" i="4"/>
  <c r="AB12" i="4"/>
  <c r="K58" i="4"/>
  <c r="K94" i="4"/>
  <c r="K98" i="4"/>
  <c r="L104" i="4"/>
  <c r="L106" i="4"/>
  <c r="L110" i="4"/>
  <c r="L47" i="4"/>
  <c r="L34" i="4"/>
  <c r="L74" i="4"/>
  <c r="L78" i="4"/>
  <c r="L87" i="4"/>
  <c r="K97" i="4"/>
  <c r="L116" i="4"/>
  <c r="L35" i="4"/>
  <c r="O41" i="4"/>
  <c r="O24" i="4" s="1"/>
  <c r="L52" i="4"/>
  <c r="L63" i="4"/>
  <c r="L72" i="4"/>
  <c r="L29" i="4"/>
  <c r="L48" i="4"/>
  <c r="L108" i="4"/>
  <c r="K33" i="5"/>
  <c r="V67" i="5"/>
  <c r="K27" i="5"/>
  <c r="K34" i="5"/>
  <c r="K23" i="5"/>
  <c r="J22" i="5"/>
  <c r="K22" i="5" s="1"/>
  <c r="K25" i="5"/>
  <c r="J39" i="5"/>
  <c r="K39" i="5" s="1"/>
  <c r="K105" i="4"/>
  <c r="L105" i="4" s="1"/>
  <c r="L107" i="4"/>
  <c r="J17" i="5"/>
  <c r="K17" i="5" s="1"/>
  <c r="L44" i="4"/>
  <c r="K55" i="4"/>
  <c r="L79" i="4"/>
  <c r="L85" i="4"/>
  <c r="K18" i="5"/>
  <c r="K48" i="5"/>
  <c r="K118" i="4"/>
  <c r="L118" i="4" s="1"/>
  <c r="L113" i="4"/>
  <c r="U114" i="4"/>
  <c r="U132" i="4"/>
  <c r="S12" i="4"/>
  <c r="L67" i="4"/>
  <c r="K119" i="4"/>
  <c r="L119" i="4" s="1"/>
  <c r="K26" i="5"/>
  <c r="K54" i="5"/>
  <c r="K56" i="4"/>
  <c r="L56" i="4" s="1"/>
  <c r="N39" i="4"/>
  <c r="K14" i="4"/>
  <c r="S21" i="4"/>
  <c r="L49" i="4"/>
  <c r="L109" i="4"/>
  <c r="L117" i="4"/>
  <c r="L73" i="4"/>
  <c r="K24" i="5"/>
  <c r="P41" i="5"/>
  <c r="J41" i="5" s="1"/>
  <c r="K41" i="5" s="1"/>
  <c r="L35" i="5"/>
  <c r="J35" i="5" s="1"/>
  <c r="K35" i="5" s="1"/>
  <c r="O13" i="4"/>
  <c r="L31" i="5"/>
  <c r="W13" i="4"/>
  <c r="J30" i="5"/>
  <c r="K30" i="5" s="1"/>
  <c r="S53" i="5"/>
  <c r="J53" i="5" s="1"/>
  <c r="K53" i="5" s="1"/>
  <c r="F62" i="6" l="1"/>
  <c r="H62" i="6" s="1"/>
  <c r="D61" i="6"/>
  <c r="L98" i="4"/>
  <c r="L55" i="4"/>
  <c r="L58" i="4"/>
  <c r="L94" i="4"/>
  <c r="K21" i="4"/>
  <c r="L21" i="4" s="1"/>
  <c r="K24" i="4"/>
  <c r="L24" i="4" s="1"/>
  <c r="U67" i="5"/>
  <c r="W67" i="5"/>
  <c r="K13" i="5"/>
  <c r="M67" i="5"/>
  <c r="R67" i="5"/>
  <c r="T67" i="5"/>
  <c r="O67" i="5"/>
  <c r="L60" i="4"/>
  <c r="W136" i="4"/>
  <c r="L14" i="4"/>
  <c r="K12" i="4"/>
  <c r="L12" i="4" s="1"/>
  <c r="Q67" i="5"/>
  <c r="N67" i="5"/>
  <c r="K13" i="4"/>
  <c r="L13" i="4" s="1"/>
  <c r="L97" i="4"/>
  <c r="T136" i="4"/>
  <c r="K41" i="4"/>
  <c r="L41" i="4" s="1"/>
  <c r="K43" i="4"/>
  <c r="L43" i="4" s="1"/>
  <c r="K42" i="4"/>
  <c r="L42" i="4" s="1"/>
  <c r="N25" i="4"/>
  <c r="K25" i="4" s="1"/>
  <c r="L25" i="4" s="1"/>
  <c r="S136" i="4"/>
  <c r="O136" i="4"/>
  <c r="AB136" i="4"/>
  <c r="U119" i="4"/>
  <c r="U118" i="4"/>
  <c r="V136" i="4"/>
  <c r="K39" i="4"/>
  <c r="L39" i="4" s="1"/>
  <c r="N22" i="4"/>
  <c r="P67" i="5"/>
  <c r="J114" i="4"/>
  <c r="K114" i="4" s="1"/>
  <c r="U115" i="4"/>
  <c r="J115" i="4" s="1"/>
  <c r="K115" i="4" s="1"/>
  <c r="J31" i="5"/>
  <c r="K31" i="5" s="1"/>
  <c r="L32" i="5"/>
  <c r="J32" i="5" s="1"/>
  <c r="K32" i="5" s="1"/>
  <c r="S67" i="5"/>
  <c r="AC136" i="4"/>
  <c r="AA136" i="4"/>
  <c r="Z136" i="4"/>
  <c r="Y136" i="4"/>
  <c r="Q136" i="4"/>
  <c r="X136" i="4"/>
  <c r="P136" i="4"/>
  <c r="R136" i="4"/>
  <c r="L11" i="4"/>
  <c r="F63" i="6" l="1"/>
  <c r="H63" i="6" s="1"/>
  <c r="D63" i="6" s="1"/>
  <c r="D62" i="6"/>
  <c r="I8" i="5"/>
  <c r="U136" i="4"/>
  <c r="L67" i="5"/>
  <c r="K22" i="4"/>
  <c r="L22" i="4" s="1"/>
  <c r="I8" i="4" s="1"/>
  <c r="N136" i="4"/>
  <c r="S68" i="5" l="1"/>
  <c r="S8" i="5" s="1"/>
  <c r="V68" i="5"/>
  <c r="N137" i="4"/>
  <c r="N8" i="4" s="1"/>
  <c r="M137" i="4"/>
  <c r="M129" i="4" s="1"/>
  <c r="Z137" i="4"/>
  <c r="Z8" i="4" s="1"/>
  <c r="O137" i="4"/>
  <c r="O129" i="4" s="1"/>
  <c r="Y137" i="4"/>
  <c r="Y129" i="4" s="1"/>
  <c r="P68" i="5"/>
  <c r="P60" i="5" s="1"/>
  <c r="T137" i="4"/>
  <c r="AA137" i="4"/>
  <c r="R137" i="4"/>
  <c r="AB137" i="4"/>
  <c r="AC137" i="4"/>
  <c r="P137" i="4"/>
  <c r="Q137" i="4"/>
  <c r="S137" i="4"/>
  <c r="X137" i="4"/>
  <c r="V137" i="4"/>
  <c r="W137" i="4"/>
  <c r="L68" i="5"/>
  <c r="U68" i="5"/>
  <c r="M68" i="5"/>
  <c r="N68" i="5"/>
  <c r="O68" i="5"/>
  <c r="W68" i="5"/>
  <c r="Q68" i="5"/>
  <c r="R68" i="5"/>
  <c r="T68" i="5"/>
  <c r="U137" i="4"/>
  <c r="S60" i="5" l="1"/>
  <c r="M8" i="4"/>
  <c r="N129" i="4"/>
  <c r="O8" i="4"/>
  <c r="P8" i="5"/>
  <c r="Z129" i="4"/>
  <c r="Y8" i="4"/>
  <c r="O60" i="5"/>
  <c r="O8" i="5"/>
  <c r="P8" i="4"/>
  <c r="P129" i="4"/>
  <c r="W60" i="5"/>
  <c r="W8" i="5"/>
  <c r="U8" i="4"/>
  <c r="U129" i="4"/>
  <c r="M60" i="5"/>
  <c r="M8" i="5"/>
  <c r="V8" i="4"/>
  <c r="V129" i="4"/>
  <c r="AB8" i="4"/>
  <c r="AB129" i="4"/>
  <c r="Q129" i="4"/>
  <c r="Q8" i="4"/>
  <c r="T129" i="4"/>
  <c r="T8" i="4"/>
  <c r="T60" i="5"/>
  <c r="T8" i="5"/>
  <c r="U60" i="5"/>
  <c r="U8" i="5"/>
  <c r="X8" i="4"/>
  <c r="X129" i="4"/>
  <c r="R129" i="4"/>
  <c r="R8" i="4"/>
  <c r="L60" i="5"/>
  <c r="L8" i="5"/>
  <c r="S129" i="4"/>
  <c r="S8" i="4"/>
  <c r="AC8" i="4"/>
  <c r="AC129" i="4"/>
  <c r="V60" i="5"/>
  <c r="V8" i="5"/>
  <c r="N60" i="5"/>
  <c r="N8" i="5"/>
  <c r="W8" i="4"/>
  <c r="W129" i="4"/>
  <c r="R60" i="5"/>
  <c r="R8" i="5"/>
  <c r="Q60" i="5"/>
  <c r="Q8" i="5"/>
  <c r="AA129" i="4"/>
  <c r="AA8" i="4"/>
  <c r="K129" i="4" l="1"/>
  <c r="K8" i="4"/>
  <c r="L8" i="4" s="1"/>
  <c r="J60" i="5"/>
  <c r="J8" i="5"/>
  <c r="K8" i="5" s="1"/>
  <c r="E129" i="4" l="1"/>
  <c r="I129" i="4" s="1"/>
  <c r="E60" i="5"/>
  <c r="I60" i="5" s="1"/>
  <c r="O62" i="5" s="1"/>
  <c r="Y131" i="4" l="1"/>
  <c r="Y133" i="4" s="1"/>
  <c r="AA131" i="4"/>
  <c r="AA133" i="4" s="1"/>
  <c r="X131" i="4"/>
  <c r="X133" i="4" s="1"/>
  <c r="X134" i="4" s="1"/>
  <c r="Z131" i="4"/>
  <c r="Z133" i="4" s="1"/>
  <c r="Z134" i="4" s="1"/>
  <c r="AB131" i="4"/>
  <c r="AB133" i="4" s="1"/>
  <c r="U131" i="4"/>
  <c r="U133" i="4" s="1"/>
  <c r="M131" i="4"/>
  <c r="M133" i="4" s="1"/>
  <c r="L129" i="4"/>
  <c r="L131" i="4" s="1"/>
  <c r="R131" i="4"/>
  <c r="R133" i="4" s="1"/>
  <c r="S131" i="4"/>
  <c r="S133" i="4" s="1"/>
  <c r="O131" i="4"/>
  <c r="O133" i="4" s="1"/>
  <c r="Q131" i="4"/>
  <c r="Q133" i="4" s="1"/>
  <c r="P131" i="4"/>
  <c r="P133" i="4" s="1"/>
  <c r="W131" i="4"/>
  <c r="W133" i="4" s="1"/>
  <c r="W134" i="4" s="1"/>
  <c r="V131" i="4"/>
  <c r="V133" i="4" s="1"/>
  <c r="V134" i="4" s="1"/>
  <c r="N131" i="4"/>
  <c r="N133" i="4" s="1"/>
  <c r="AC131" i="4"/>
  <c r="AC133" i="4" s="1"/>
  <c r="T131" i="4"/>
  <c r="T133" i="4" s="1"/>
  <c r="M62" i="5"/>
  <c r="M64" i="5" s="1"/>
  <c r="M65" i="5" s="1"/>
  <c r="E24" i="2" s="1"/>
  <c r="O64" i="5"/>
  <c r="O65" i="5" s="1"/>
  <c r="E26" i="2" s="1"/>
  <c r="L62" i="5"/>
  <c r="L64" i="5" s="1"/>
  <c r="L65" i="5" s="1"/>
  <c r="E23" i="2" s="1"/>
  <c r="T62" i="5"/>
  <c r="T64" i="5" s="1"/>
  <c r="T65" i="5" s="1"/>
  <c r="E31" i="2" s="1"/>
  <c r="Q62" i="5"/>
  <c r="Q64" i="5" s="1"/>
  <c r="Q65" i="5" s="1"/>
  <c r="E28" i="2" s="1"/>
  <c r="W62" i="5"/>
  <c r="W64" i="5" s="1"/>
  <c r="W65" i="5" s="1"/>
  <c r="N62" i="5"/>
  <c r="N64" i="5" s="1"/>
  <c r="N65" i="5" s="1"/>
  <c r="E25" i="2" s="1"/>
  <c r="R62" i="5"/>
  <c r="R64" i="5" s="1"/>
  <c r="R65" i="5" s="1"/>
  <c r="E29" i="2" s="1"/>
  <c r="V62" i="5"/>
  <c r="V64" i="5" s="1"/>
  <c r="V65" i="5" s="1"/>
  <c r="S62" i="5"/>
  <c r="S64" i="5" s="1"/>
  <c r="S65" i="5" s="1"/>
  <c r="E30" i="2" s="1"/>
  <c r="U62" i="5"/>
  <c r="U64" i="5" s="1"/>
  <c r="U65" i="5" s="1"/>
  <c r="P62" i="5"/>
  <c r="P64" i="5" s="1"/>
  <c r="P65" i="5" s="1"/>
  <c r="E27" i="2" s="1"/>
  <c r="K60" i="5"/>
  <c r="K62" i="5" s="1"/>
  <c r="N134" i="4" l="1"/>
  <c r="E7" i="2" s="1"/>
  <c r="F7" i="2" s="1"/>
  <c r="U134" i="4"/>
  <c r="E17" i="2" s="1"/>
  <c r="F17" i="2" s="1"/>
  <c r="P134" i="4"/>
  <c r="E9" i="2" s="1"/>
  <c r="F9" i="2" s="1"/>
  <c r="AB134" i="4"/>
  <c r="E21" i="2" s="1"/>
  <c r="M134" i="4"/>
  <c r="E11" i="2" s="1"/>
  <c r="F11" i="2" s="1"/>
  <c r="Q134" i="4"/>
  <c r="E13" i="2" s="1"/>
  <c r="F13" i="2" s="1"/>
  <c r="O134" i="4"/>
  <c r="E8" i="2" s="1"/>
  <c r="F8" i="2" s="1"/>
  <c r="T134" i="4"/>
  <c r="S134" i="4"/>
  <c r="E15" i="2" s="1"/>
  <c r="F15" i="2" s="1"/>
  <c r="AA134" i="4"/>
  <c r="E20" i="2" s="1"/>
  <c r="AC134" i="4"/>
  <c r="E22" i="2" s="1"/>
  <c r="R134" i="4"/>
  <c r="E14" i="2" s="1"/>
  <c r="F14" i="2" s="1"/>
  <c r="Y134" i="4"/>
  <c r="E19" i="2" s="1"/>
  <c r="F19" i="2" s="1"/>
  <c r="F34" i="2"/>
  <c r="F33" i="2"/>
  <c r="F32" i="2"/>
  <c r="F30" i="2"/>
  <c r="F29" i="2"/>
  <c r="F27" i="2"/>
  <c r="F18" i="2" l="1"/>
  <c r="F39" i="2"/>
  <c r="E16" i="2"/>
  <c r="F16" i="2" s="1"/>
  <c r="E12" i="2"/>
  <c r="F12" i="2" s="1"/>
  <c r="F31" i="2"/>
  <c r="F41" i="2" s="1"/>
  <c r="F28" i="2"/>
  <c r="D21" i="2" l="1"/>
  <c r="D20" i="2"/>
  <c r="F20" i="2" s="1"/>
  <c r="H36" i="6"/>
  <c r="F41" i="6" l="1"/>
  <c r="H41" i="6" s="1"/>
  <c r="D41" i="6" s="1"/>
  <c r="D36" i="6"/>
  <c r="D26" i="2" s="1"/>
  <c r="D22" i="2"/>
  <c r="F22" i="2" s="1"/>
  <c r="F21" i="2"/>
  <c r="F24" i="2" l="1"/>
  <c r="H46" i="6"/>
  <c r="D46" i="6" s="1"/>
  <c r="F26" i="2" l="1"/>
  <c r="F23" i="2"/>
  <c r="F25" i="2"/>
  <c r="F35" i="2" l="1"/>
  <c r="F40" i="2"/>
  <c r="F42" i="2" l="1"/>
  <c r="G41" i="2" l="1"/>
  <c r="G39" i="2"/>
  <c r="G40" i="2"/>
  <c r="G42"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ThandekaJ</author>
  </authors>
  <commentList>
    <comment ref="C51" authorId="0" shapeId="0" xr:uid="{B6CAE429-5123-401D-8C83-D07A51A4E586}">
      <text>
        <r>
          <rPr>
            <b/>
            <u/>
            <sz val="8"/>
            <color indexed="81"/>
            <rFont val="Tahoma"/>
            <family val="2"/>
          </rPr>
          <t>Load Profile Code Categories Description</t>
        </r>
        <r>
          <rPr>
            <b/>
            <sz val="8"/>
            <color indexed="81"/>
            <rFont val="Tahoma"/>
            <family val="2"/>
          </rPr>
          <t xml:space="preserve">
</t>
        </r>
        <r>
          <rPr>
            <sz val="8"/>
            <color indexed="81"/>
            <rFont val="Tahoma"/>
            <family val="2"/>
          </rPr>
          <t xml:space="preserve">
LP Code 1: Residential low usage, Electrification Low consumption, high peaks
LP Code 2: Residential, Developing Township Morning/Evening peak
LP Code 3: Residential. Established Township Morning/Evening peak
LP Code 4: Commercial Morning peak, low night load
LP Code 5: Light Industry Daytime essentially constant
LP Code 6: Heavy Industry Essentially constant
LP Code 7: Mining Essentially constant
LP Code 8: Agriculture Long feeders, variable load
LP Code 9: Traction/Transportation Medium to high load factor
LP Code 10: Rural, not included in Category 1 above Long feeders, low load factor
LP Code 11: Other</t>
        </r>
      </text>
    </comment>
    <comment ref="D51" authorId="0" shapeId="0" xr:uid="{C4DD8B48-A1B8-481A-97BF-E4E995AAE04C}">
      <text>
        <r>
          <rPr>
            <b/>
            <u/>
            <sz val="8"/>
            <color indexed="81"/>
            <rFont val="Tahoma"/>
            <family val="2"/>
          </rPr>
          <t>Tariff Structure Code Categories 
(Per Interim National Distribution Tariff System December 1995 - chapter 5)</t>
        </r>
        <r>
          <rPr>
            <sz val="8"/>
            <color indexed="81"/>
            <rFont val="Tahoma"/>
            <family val="2"/>
          </rPr>
          <t xml:space="preserve">
TS Code 5.1: One part single energy rate
TS Code 5.2: Two Part
TS Code 5.3: Two Part Time of Use
TS Code 5.4: Three Part
TS Code 5.5: Three Part Time of Use
TS Code 5.6: Other / Special</t>
        </r>
      </text>
    </comment>
    <comment ref="C52" authorId="0" shapeId="0" xr:uid="{C698412F-97B6-430D-8C77-23AC57B2D762}">
      <text>
        <r>
          <rPr>
            <b/>
            <u/>
            <sz val="8"/>
            <color indexed="81"/>
            <rFont val="Tahoma"/>
            <family val="2"/>
          </rPr>
          <t>Load Profile Code Categories Description</t>
        </r>
        <r>
          <rPr>
            <b/>
            <sz val="8"/>
            <color indexed="81"/>
            <rFont val="Tahoma"/>
            <family val="2"/>
          </rPr>
          <t xml:space="preserve">
</t>
        </r>
        <r>
          <rPr>
            <sz val="8"/>
            <color indexed="81"/>
            <rFont val="Tahoma"/>
            <family val="2"/>
          </rPr>
          <t xml:space="preserve">
LP Code 1: Residential low usage, Electrification Low consumption, high peaks
LP Code 2: Residential, Developing Township Morning/Evening peak
LP Code 3: Residential. Established Township Morning/Evening peak
LP Code 4: Commercial Morning peak, low night load
LP Code 5: Light Industry Daytime essentially constant
LP Code 6: Heavy Industry Essentially constant
LP Code 7: Mining Essentially constant
LP Code 8: Agriculture Long feeders, variable load
LP Code 9: Traction/Transportation Medium to high load factor
LP Code 10: Rural, not included in Category 1 above Long feeders, low load factor
LP Code 11: Other</t>
        </r>
      </text>
    </comment>
    <comment ref="D52" authorId="0" shapeId="0" xr:uid="{CFBAB0D6-69E4-4AF1-A211-4A8CB64CC7FB}">
      <text>
        <r>
          <rPr>
            <b/>
            <u/>
            <sz val="8"/>
            <color indexed="81"/>
            <rFont val="Tahoma"/>
            <family val="2"/>
          </rPr>
          <t>Tariff Structure Code Categories 
(Per Interim National Distribution Tariff System December 1995 - chapter 5)</t>
        </r>
        <r>
          <rPr>
            <sz val="8"/>
            <color indexed="81"/>
            <rFont val="Tahoma"/>
            <family val="2"/>
          </rPr>
          <t xml:space="preserve">
TS Code 5.1: One part single energy rate
TS Code 5.2: Two Part
TS Code 5.3: Two Part Time of Use
TS Code 5.4: Three Part
TS Code 5.5: Three Part Time of Use
TS Code 5.6: Other / Special</t>
        </r>
      </text>
    </comment>
    <comment ref="C53" authorId="0" shapeId="0" xr:uid="{2498149D-29C1-406F-B1B9-B10428C0C1E2}">
      <text>
        <r>
          <rPr>
            <b/>
            <u/>
            <sz val="8"/>
            <color indexed="81"/>
            <rFont val="Tahoma"/>
            <family val="2"/>
          </rPr>
          <t>Load Profile Code Categories Description</t>
        </r>
        <r>
          <rPr>
            <b/>
            <sz val="8"/>
            <color indexed="81"/>
            <rFont val="Tahoma"/>
            <family val="2"/>
          </rPr>
          <t xml:space="preserve">
</t>
        </r>
        <r>
          <rPr>
            <sz val="8"/>
            <color indexed="81"/>
            <rFont val="Tahoma"/>
            <family val="2"/>
          </rPr>
          <t xml:space="preserve">
LP Code 1: Residential low usage, Electrification Low consumption, high peaks
LP Code 2: Residential, Developing Township Morning/Evening peak
LP Code 3: Residential. Established Township Morning/Evening peak
LP Code 4: Commercial Morning peak, low night load
LP Code 5: Light Industry Daytime essentially constant
LP Code 6: Heavy Industry Essentially constant
LP Code 7: Mining Essentially constant
LP Code 8: Agriculture Long feeders, variable load
LP Code 9: Traction/Transportation Medium to high load factor
LP Code 10: Rural, not included in Category 1 above Long feeders, low load factor
LP Code 11: Other</t>
        </r>
      </text>
    </comment>
    <comment ref="D53" authorId="0" shapeId="0" xr:uid="{DD32AC98-8FEA-4C58-B3BA-22BDA6E190C5}">
      <text>
        <r>
          <rPr>
            <b/>
            <u/>
            <sz val="8"/>
            <color indexed="81"/>
            <rFont val="Tahoma"/>
            <family val="2"/>
          </rPr>
          <t>Tariff Structure Code Categories 
(Per Interim National Distribution Tariff System December 1995 - chapter 5)</t>
        </r>
        <r>
          <rPr>
            <sz val="8"/>
            <color indexed="81"/>
            <rFont val="Tahoma"/>
            <family val="2"/>
          </rPr>
          <t xml:space="preserve">
TS Code 5.1: One part single energy rate
TS Code 5.2: Two Part
TS Code 5.3: Two Part Time of Use
TS Code 5.4: Three Part
TS Code 5.5: Three Part Time of Use
TS Code 5.6: Other / Special</t>
        </r>
      </text>
    </comment>
    <comment ref="C54" authorId="0" shapeId="0" xr:uid="{E13A34D9-1DA7-43F6-9E6F-176B4BE3A6E3}">
      <text>
        <r>
          <rPr>
            <b/>
            <u/>
            <sz val="8"/>
            <color indexed="81"/>
            <rFont val="Tahoma"/>
            <family val="2"/>
          </rPr>
          <t>Load Profile Code Categories Description</t>
        </r>
        <r>
          <rPr>
            <b/>
            <sz val="8"/>
            <color indexed="81"/>
            <rFont val="Tahoma"/>
            <family val="2"/>
          </rPr>
          <t xml:space="preserve">
</t>
        </r>
        <r>
          <rPr>
            <sz val="8"/>
            <color indexed="81"/>
            <rFont val="Tahoma"/>
            <family val="2"/>
          </rPr>
          <t xml:space="preserve">
LP Code 1: Residential low usage, Electrification Low consumption, high peaks
LP Code 2: Residential, Developing Township Morning/Evening peak
LP Code 3: Residential. Established Township Morning/Evening peak
LP Code 4: Commercial Morning peak, low night load
LP Code 5: Light Industry Daytime essentially constant
LP Code 6: Heavy Industry Essentially constant
LP Code 7: Mining Essentially constant
LP Code 8: Agriculture Long feeders, variable load
LP Code 9: Traction/Transportation Medium to high load factor
LP Code 10: Rural, not included in Category 1 above Long feeders, low load factor
LP Code 11: Other</t>
        </r>
      </text>
    </comment>
    <comment ref="D54" authorId="0" shapeId="0" xr:uid="{2DDE134F-0691-4CCD-943E-BA184BFD9715}">
      <text>
        <r>
          <rPr>
            <b/>
            <u/>
            <sz val="8"/>
            <color indexed="81"/>
            <rFont val="Tahoma"/>
            <family val="2"/>
          </rPr>
          <t>Tariff Structure Code Categories 
(Per Interim National Distribution Tariff System December 1995 - chapter 5)</t>
        </r>
        <r>
          <rPr>
            <sz val="8"/>
            <color indexed="81"/>
            <rFont val="Tahoma"/>
            <family val="2"/>
          </rPr>
          <t xml:space="preserve">
TS Code 5.1: One part single energy rate
TS Code 5.2: Two Part
TS Code 5.3: Two Part Time of Use
TS Code 5.4: Three Part
TS Code 5.5: Three Part Time of Use
TS Code 5.6: Other / Special</t>
        </r>
      </text>
    </comment>
    <comment ref="C55" authorId="0" shapeId="0" xr:uid="{51FB731F-E15F-4B72-B69A-2BD3C7455BAA}">
      <text>
        <r>
          <rPr>
            <b/>
            <u/>
            <sz val="8"/>
            <color indexed="81"/>
            <rFont val="Tahoma"/>
            <family val="2"/>
          </rPr>
          <t>Load Profile Code Categories Description</t>
        </r>
        <r>
          <rPr>
            <b/>
            <sz val="8"/>
            <color indexed="81"/>
            <rFont val="Tahoma"/>
            <family val="2"/>
          </rPr>
          <t xml:space="preserve">
</t>
        </r>
        <r>
          <rPr>
            <sz val="8"/>
            <color indexed="81"/>
            <rFont val="Tahoma"/>
            <family val="2"/>
          </rPr>
          <t xml:space="preserve">
LP Code 1: Residential low usage, Electrification Low consumption, high peaks
LP Code 2: Residential, Developing Township Morning/Evening peak
LP Code 3: Residential. Established Township Morning/Evening peak
LP Code 4: Commercial Morning peak, low night load
LP Code 5: Light Industry Daytime essentially constant
LP Code 6: Heavy Industry Essentially constant
LP Code 7: Mining Essentially constant
LP Code 8: Agriculture Long feeders, variable load
LP Code 9: Traction/Transportation Medium to high load factor
LP Code 10: Rural, not included in Category 1 above Long feeders, low load factor
LP Code 11: Other</t>
        </r>
      </text>
    </comment>
    <comment ref="D55" authorId="0" shapeId="0" xr:uid="{5634763B-E3F5-4E3D-9B3D-66560E6E340B}">
      <text>
        <r>
          <rPr>
            <b/>
            <u/>
            <sz val="8"/>
            <color indexed="81"/>
            <rFont val="Tahoma"/>
            <family val="2"/>
          </rPr>
          <t>Tariff Structure Code Categories 
(Per Interim National Distribution Tariff System December 1995 - chapter 5)</t>
        </r>
        <r>
          <rPr>
            <sz val="8"/>
            <color indexed="81"/>
            <rFont val="Tahoma"/>
            <family val="2"/>
          </rPr>
          <t xml:space="preserve">
TS Code 5.1: One part single energy rate
TS Code 5.2: Two Part
TS Code 5.3: Two Part Time of Use
TS Code 5.4: Three Part
TS Code 5.5: Three Part Time of Use
TS Code 5.6: Other / Special</t>
        </r>
      </text>
    </comment>
    <comment ref="C56" authorId="0" shapeId="0" xr:uid="{01240130-8C8F-43D7-9601-E9620E3B8210}">
      <text>
        <r>
          <rPr>
            <b/>
            <u/>
            <sz val="8"/>
            <color indexed="81"/>
            <rFont val="Tahoma"/>
            <family val="2"/>
          </rPr>
          <t>Load Profile Code Categories Description</t>
        </r>
        <r>
          <rPr>
            <b/>
            <sz val="8"/>
            <color indexed="81"/>
            <rFont val="Tahoma"/>
            <family val="2"/>
          </rPr>
          <t xml:space="preserve">
</t>
        </r>
        <r>
          <rPr>
            <sz val="8"/>
            <color indexed="81"/>
            <rFont val="Tahoma"/>
            <family val="2"/>
          </rPr>
          <t xml:space="preserve">
LP Code 1: Residential low usage, Electrification Low consumption, high peaks
LP Code 2: Residential, Developing Township Morning/Evening peak
LP Code 3: Residential. Established Township Morning/Evening peak
LP Code 4: Commercial Morning peak, low night load
LP Code 5: Light Industry Daytime essentially constant
LP Code 6: Heavy Industry Essentially constant
LP Code 7: Mining Essentially constant
LP Code 8: Agriculture Long feeders, variable load
LP Code 9: Traction/Transportation Medium to high load factor
LP Code 10: Rural, not included in Category 1 above Long feeders, low load factor
LP Code 11: Other</t>
        </r>
      </text>
    </comment>
    <comment ref="D56" authorId="0" shapeId="0" xr:uid="{EA641818-D80F-4607-B248-48DCCA149F33}">
      <text>
        <r>
          <rPr>
            <b/>
            <u/>
            <sz val="8"/>
            <color indexed="81"/>
            <rFont val="Tahoma"/>
            <family val="2"/>
          </rPr>
          <t>Tariff Structure Code Categories 
(Per Interim National Distribution Tariff System December 1995 - chapter 5)</t>
        </r>
        <r>
          <rPr>
            <sz val="8"/>
            <color indexed="81"/>
            <rFont val="Tahoma"/>
            <family val="2"/>
          </rPr>
          <t xml:space="preserve">
TS Code 5.1: One part single energy rate
TS Code 5.2: Two Part
TS Code 5.3: Two Part Time of Use
TS Code 5.4: Three Part
TS Code 5.5: Three Part Time of Use
TS Code 5.6: Other / Special</t>
        </r>
      </text>
    </comment>
    <comment ref="C57" authorId="0" shapeId="0" xr:uid="{515ECDCF-FBF8-464D-B1BD-62782083BFDA}">
      <text>
        <r>
          <rPr>
            <b/>
            <u/>
            <sz val="8"/>
            <color indexed="81"/>
            <rFont val="Tahoma"/>
            <family val="2"/>
          </rPr>
          <t>Load Profile Code Categories Description</t>
        </r>
        <r>
          <rPr>
            <b/>
            <sz val="8"/>
            <color indexed="81"/>
            <rFont val="Tahoma"/>
            <family val="2"/>
          </rPr>
          <t xml:space="preserve">
</t>
        </r>
        <r>
          <rPr>
            <sz val="8"/>
            <color indexed="81"/>
            <rFont val="Tahoma"/>
            <family val="2"/>
          </rPr>
          <t xml:space="preserve">
LP Code 1: Residential low usage, Electrification Low consumption, high peaks
LP Code 2: Residential, Developing Township Morning/Evening peak
LP Code 3: Residential. Established Township Morning/Evening peak
LP Code 4: Commercial Morning peak, low night load
LP Code 5: Light Industry Daytime essentially constant
LP Code 6: Heavy Industry Essentially constant
LP Code 7: Mining Essentially constant
LP Code 8: Agriculture Long feeders, variable load
LP Code 9: Traction/Transportation Medium to high load factor
LP Code 10: Rural, not included in Category 1 above Long feeders, low load factor
LP Code 11: Other</t>
        </r>
      </text>
    </comment>
    <comment ref="D57" authorId="0" shapeId="0" xr:uid="{0361BD8B-475C-49D6-9CFA-2F30EFA7E60D}">
      <text>
        <r>
          <rPr>
            <b/>
            <u/>
            <sz val="8"/>
            <color indexed="81"/>
            <rFont val="Tahoma"/>
            <family val="2"/>
          </rPr>
          <t>Tariff Structure Code Categories 
(Per Interim National Distribution Tariff System December 1995 - chapter 5)</t>
        </r>
        <r>
          <rPr>
            <sz val="8"/>
            <color indexed="81"/>
            <rFont val="Tahoma"/>
            <family val="2"/>
          </rPr>
          <t xml:space="preserve">
TS Code 5.1: One part single energy rate
TS Code 5.2: Two Part
TS Code 5.3: Two Part Time of Use
TS Code 5.4: Three Part
TS Code 5.5: Three Part Time of Use
TS Code 5.6: Other / Special</t>
        </r>
      </text>
    </comment>
    <comment ref="C58" authorId="0" shapeId="0" xr:uid="{F1A55E3F-33F1-4B9F-AF4A-11CD585AD768}">
      <text>
        <r>
          <rPr>
            <b/>
            <u/>
            <sz val="8"/>
            <color indexed="81"/>
            <rFont val="Tahoma"/>
            <family val="2"/>
          </rPr>
          <t>Load Profile Code Categories Description</t>
        </r>
        <r>
          <rPr>
            <b/>
            <sz val="8"/>
            <color indexed="81"/>
            <rFont val="Tahoma"/>
            <family val="2"/>
          </rPr>
          <t xml:space="preserve">
</t>
        </r>
        <r>
          <rPr>
            <sz val="8"/>
            <color indexed="81"/>
            <rFont val="Tahoma"/>
            <family val="2"/>
          </rPr>
          <t xml:space="preserve">
LP Code 1: Residential low usage, Electrification Low consumption, high peaks
LP Code 2: Residential, Developing Township Morning/Evening peak
LP Code 3: Residential. Established Township Morning/Evening peak
LP Code 4: Commercial Morning peak, low night load
LP Code 5: Light Industry Daytime essentially constant
LP Code 6: Heavy Industry Essentially constant
LP Code 7: Mining Essentially constant
LP Code 8: Agriculture Long feeders, variable load
LP Code 9: Traction/Transportation Medium to high load factor
LP Code 10: Rural, not included in Category 1 above Long feeders, low load factor
LP Code 11: Other</t>
        </r>
      </text>
    </comment>
    <comment ref="D58" authorId="0" shapeId="0" xr:uid="{80E8F5F1-4EA8-4980-9FF7-4DC96DF9EBDB}">
      <text>
        <r>
          <rPr>
            <b/>
            <u/>
            <sz val="8"/>
            <color indexed="81"/>
            <rFont val="Tahoma"/>
            <family val="2"/>
          </rPr>
          <t>Tariff Structure Code Categories 
(Per Interim National Distribution Tariff System December 1995 - chapter 5)</t>
        </r>
        <r>
          <rPr>
            <sz val="8"/>
            <color indexed="81"/>
            <rFont val="Tahoma"/>
            <family val="2"/>
          </rPr>
          <t xml:space="preserve">
TS Code 5.1: One part single energy rate
TS Code 5.2: Two Part
TS Code 5.3: Two Part Time of Use
TS Code 5.4: Three Part
TS Code 5.5: Three Part Time of Use
TS Code 5.6: Other / Special</t>
        </r>
      </text>
    </comment>
    <comment ref="C59" authorId="0" shapeId="0" xr:uid="{47C1F2CB-E226-427D-B6EB-6C349A118308}">
      <text>
        <r>
          <rPr>
            <b/>
            <u/>
            <sz val="8"/>
            <color indexed="81"/>
            <rFont val="Tahoma"/>
            <family val="2"/>
          </rPr>
          <t>Load Profile Code Categories Description</t>
        </r>
        <r>
          <rPr>
            <b/>
            <sz val="8"/>
            <color indexed="81"/>
            <rFont val="Tahoma"/>
            <family val="2"/>
          </rPr>
          <t xml:space="preserve">
</t>
        </r>
        <r>
          <rPr>
            <sz val="8"/>
            <color indexed="81"/>
            <rFont val="Tahoma"/>
            <family val="2"/>
          </rPr>
          <t xml:space="preserve">
LP Code 1: Residential low usage, Electrification Low consumption, high peaks
LP Code 2: Residential, Developing Township Morning/Evening peak
LP Code 3: Residential. Established Township Morning/Evening peak
LP Code 4: Commercial Morning peak, low night load
LP Code 5: Light Industry Daytime essentially constant
LP Code 6: Heavy Industry Essentially constant
LP Code 7: Mining Essentially constant
LP Code 8: Agriculture Long feeders, variable load
LP Code 9: Traction/Transportation Medium to high load factor
LP Code 10: Rural, not included in Category 1 above Long feeders, low load factor
LP Code 11: Other</t>
        </r>
      </text>
    </comment>
    <comment ref="D59" authorId="0" shapeId="0" xr:uid="{D389B842-4048-4852-8BB8-00CDFE2A72C3}">
      <text>
        <r>
          <rPr>
            <b/>
            <u/>
            <sz val="8"/>
            <color indexed="81"/>
            <rFont val="Tahoma"/>
            <family val="2"/>
          </rPr>
          <t>Tariff Structure Code Categories 
(Per Interim National Distribution Tariff System December 1995 - chapter 5)</t>
        </r>
        <r>
          <rPr>
            <sz val="8"/>
            <color indexed="81"/>
            <rFont val="Tahoma"/>
            <family val="2"/>
          </rPr>
          <t xml:space="preserve">
TS Code 5.1: One part single energy rate
TS Code 5.2: Two Part
TS Code 5.3: Two Part Time of Use
TS Code 5.4: Three Part
TS Code 5.5: Three Part Time of Use
TS Code 5.6: Other / Special</t>
        </r>
      </text>
    </comment>
    <comment ref="C60" authorId="0" shapeId="0" xr:uid="{65BC93DA-3DE5-4298-B50B-56CD9D10E9D7}">
      <text>
        <r>
          <rPr>
            <b/>
            <u/>
            <sz val="8"/>
            <color indexed="81"/>
            <rFont val="Tahoma"/>
            <family val="2"/>
          </rPr>
          <t>Load Profile Code Categories Description</t>
        </r>
        <r>
          <rPr>
            <b/>
            <sz val="8"/>
            <color indexed="81"/>
            <rFont val="Tahoma"/>
            <family val="2"/>
          </rPr>
          <t xml:space="preserve">
</t>
        </r>
        <r>
          <rPr>
            <sz val="8"/>
            <color indexed="81"/>
            <rFont val="Tahoma"/>
            <family val="2"/>
          </rPr>
          <t xml:space="preserve">
LP Code 1: Residential low usage, Electrification Low consumption, high peaks
LP Code 2: Residential, Developing Township Morning/Evening peak
LP Code 3: Residential. Established Township Morning/Evening peak
LP Code 4: Commercial Morning peak, low night load
LP Code 5: Light Industry Daytime essentially constant
LP Code 6: Heavy Industry Essentially constant
LP Code 7: Mining Essentially constant
LP Code 8: Agriculture Long feeders, variable load
LP Code 9: Traction/Transportation Medium to high load factor
LP Code 10: Rural, not included in Category 1 above Long feeders, low load factor
LP Code 11: Other</t>
        </r>
      </text>
    </comment>
    <comment ref="D60" authorId="0" shapeId="0" xr:uid="{03E01FC4-D260-49C2-AECF-5CFD0D857BBD}">
      <text>
        <r>
          <rPr>
            <b/>
            <u/>
            <sz val="8"/>
            <color indexed="81"/>
            <rFont val="Tahoma"/>
            <family val="2"/>
          </rPr>
          <t>Tariff Structure Code Categories 
(Per Interim National Distribution Tariff System December 1995 - chapter 5)</t>
        </r>
        <r>
          <rPr>
            <sz val="8"/>
            <color indexed="81"/>
            <rFont val="Tahoma"/>
            <family val="2"/>
          </rPr>
          <t xml:space="preserve">
TS Code 5.1: One part single energy rate
TS Code 5.2: Two Part
TS Code 5.3: Two Part Time of Use
TS Code 5.4: Three Part
TS Code 5.5: Three Part Time of Use
TS Code 5.6: Other / Special</t>
        </r>
      </text>
    </comment>
    <comment ref="C61" authorId="0" shapeId="0" xr:uid="{C54AAA4D-D7E8-4ED6-B6EB-563404B3E491}">
      <text>
        <r>
          <rPr>
            <b/>
            <u/>
            <sz val="8"/>
            <color indexed="81"/>
            <rFont val="Tahoma"/>
            <family val="2"/>
          </rPr>
          <t>Load Profile Code Categories Description</t>
        </r>
        <r>
          <rPr>
            <b/>
            <sz val="8"/>
            <color indexed="81"/>
            <rFont val="Tahoma"/>
            <family val="2"/>
          </rPr>
          <t xml:space="preserve">
</t>
        </r>
        <r>
          <rPr>
            <sz val="8"/>
            <color indexed="81"/>
            <rFont val="Tahoma"/>
            <family val="2"/>
          </rPr>
          <t xml:space="preserve">
LP Code 1: Residential low usage, Electrification Low consumption, high peaks
LP Code 2: Residential, Developing Township Morning/Evening peak
LP Code 3: Residential. Established Township Morning/Evening peak
LP Code 4: Commercial Morning peak, low night load
LP Code 5: Light Industry Daytime essentially constant
LP Code 6: Heavy Industry Essentially constant
LP Code 7: Mining Essentially constant
LP Code 8: Agriculture Long feeders, variable load
LP Code 9: Traction/Transportation Medium to high load factor
LP Code 10: Rural, not included in Category 1 above Long feeders, low load factor
LP Code 11: Other</t>
        </r>
      </text>
    </comment>
    <comment ref="D61" authorId="0" shapeId="0" xr:uid="{0AB2D575-28AD-409F-97FB-72BC7D3B0064}">
      <text>
        <r>
          <rPr>
            <b/>
            <u/>
            <sz val="8"/>
            <color indexed="81"/>
            <rFont val="Tahoma"/>
            <family val="2"/>
          </rPr>
          <t>Tariff Structure Code Categories 
(Per Interim National Distribution Tariff System December 1995 - chapter 5)</t>
        </r>
        <r>
          <rPr>
            <sz val="8"/>
            <color indexed="81"/>
            <rFont val="Tahoma"/>
            <family val="2"/>
          </rPr>
          <t xml:space="preserve">
TS Code 5.1: One part single energy rate
TS Code 5.2: Two Part
TS Code 5.3: Two Part Time of Use
TS Code 5.4: Three Part
TS Code 5.5: Three Part Time of Use
TS Code 5.6: Other / Special</t>
        </r>
      </text>
    </comment>
    <comment ref="C62" authorId="0" shapeId="0" xr:uid="{29165468-CB78-4350-8646-6A2D396FF487}">
      <text>
        <r>
          <rPr>
            <b/>
            <u/>
            <sz val="8"/>
            <color indexed="81"/>
            <rFont val="Tahoma"/>
            <family val="2"/>
          </rPr>
          <t>Load Profile Code Categories Description</t>
        </r>
        <r>
          <rPr>
            <b/>
            <sz val="8"/>
            <color indexed="81"/>
            <rFont val="Tahoma"/>
            <family val="2"/>
          </rPr>
          <t xml:space="preserve">
</t>
        </r>
        <r>
          <rPr>
            <sz val="8"/>
            <color indexed="81"/>
            <rFont val="Tahoma"/>
            <family val="2"/>
          </rPr>
          <t xml:space="preserve">
LP Code 1: Residential low usage, Electrification Low consumption, high peaks
LP Code 2: Residential, Developing Township Morning/Evening peak
LP Code 3: Residential. Established Township Morning/Evening peak
LP Code 4: Commercial Morning peak, low night load
LP Code 5: Light Industry Daytime essentially constant
LP Code 6: Heavy Industry Essentially constant
LP Code 7: Mining Essentially constant
LP Code 8: Agriculture Long feeders, variable load
LP Code 9: Traction/Transportation Medium to high load factor
LP Code 10: Rural, not included in Category 1 above Long feeders, low load factor
LP Code 11: Other</t>
        </r>
      </text>
    </comment>
    <comment ref="D62" authorId="0" shapeId="0" xr:uid="{D68FB3CA-F715-4EE5-81C0-6637728DDEE1}">
      <text>
        <r>
          <rPr>
            <b/>
            <u/>
            <sz val="8"/>
            <color indexed="81"/>
            <rFont val="Tahoma"/>
            <family val="2"/>
          </rPr>
          <t>Tariff Structure Code Categories 
(Per Interim National Distribution Tariff System December 1995 - chapter 5)</t>
        </r>
        <r>
          <rPr>
            <sz val="8"/>
            <color indexed="81"/>
            <rFont val="Tahoma"/>
            <family val="2"/>
          </rPr>
          <t xml:space="preserve">
TS Code 5.1: One part single energy rate
TS Code 5.2: Two Part
TS Code 5.3: Two Part Time of Use
TS Code 5.4: Three Part
TS Code 5.5: Three Part Time of Use
TS Code 5.6: Other / Special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Zibusiso Ndlovu</author>
    <author>tc={4E83E892-D0D1-42BD-9696-0589F7539367}</author>
    <author>tc={9DB5F49F-BB7D-4DAE-BCDC-4EF070CE5CC5}</author>
  </authors>
  <commentList>
    <comment ref="C6" authorId="0" shapeId="0" xr:uid="{82005BFE-5E77-4ADE-B6AF-1F683834280C}">
      <text>
        <r>
          <rPr>
            <b/>
            <sz val="9"/>
            <color indexed="81"/>
            <rFont val="Tahoma"/>
            <charset val="1"/>
          </rPr>
          <t>Zibusiso Ndlovu:</t>
        </r>
        <r>
          <rPr>
            <sz val="9"/>
            <color indexed="81"/>
            <rFont val="Tahoma"/>
            <charset val="1"/>
          </rPr>
          <t xml:space="preserve">
Unit of Measurement</t>
        </r>
      </text>
    </comment>
    <comment ref="E47" authorId="1" shapeId="0" xr:uid="{4E83E892-D0D1-42BD-9696-0589F7539367}">
      <text>
        <t>[Threaded comment]
Your version of Excel allows you to read this threaded comment; however, any edits to it will get removed if the file is opened in a newer version of Excel. Learn more: https://go.microsoft.com/fwlink/?linkid=870924
Comment:
    HV cable feeder base rate, R5 000 000 per km, expressed in Dec 2016 money.
Originally embedded in E10 as =5000*1000*(1.08^5) - a flat 8% per year for 5 years, which bypassed the P0151 index. Replaced with the actual WG 162 index ratio.
Provenance inferred: the 1.08^5 carried a Dec-2016 rate forward to 2021, matching the sheet's original Aug-2021 current index. Cross-check: WG 162 at Aug-2021 was 163,4, giving R8,17m against the old formula's R7,35m - same order, the flat 8% just ran cooler than the actual index.</t>
      </text>
    </comment>
    <comment ref="E48" authorId="2" shapeId="0" xr:uid="{9DB5F49F-BB7D-4DAE-BCDC-4EF070CE5CC5}">
      <text>
        <t>[Threaded comment]
Your version of Excel allows you to read this threaded comment; however, any edits to it will get removed if the file is opened in a newer version of Excel. Learn more: https://go.microsoft.com/fwlink/?linkid=870924
Comment:
    Uplift applied to the 11kV overhead line rate to proxy a 33kV line.
Previously hardcoded as *1.3 inside E18 with no label or source. Value unchanged - only made visible.</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tc={AC9AB0A1-C590-498E-BE7D-3EDCBA9E653B}</author>
    <author>tc={E2C257D1-D026-4086-B087-65FBA629E4EE}</author>
    <author>tc={CA7D5A38-1C80-4AB0-9CB4-A7FE0F8223B8}</author>
    <author>tc={491063DC-4D55-4C82-BCA6-45CA7F6ADB16}</author>
    <author>tc={69F87D94-408A-4BD5-A52D-A10E8E5670B0}</author>
    <author>Zibusiso Ndlovu</author>
  </authors>
  <commentList>
    <comment ref="B16" authorId="0" shapeId="0" xr:uid="{AC9AB0A1-C590-498E-BE7D-3EDCBA9E653B}">
      <text>
        <t>[Threaded comment]
Your version of Excel allows you to read this threaded comment; however, any edits to it will get removed if the file is opened in a newer version of Excel. Learn more: https://go.microsoft.com/fwlink/?linkid=870924
Comment:
    DO NOT CHANGE rows 16 to 23.
These Jan-Aug 2021 indices are on the OLD Dec 2016 = 100 base and are the BASE indices that 268 rate formulas on the two detailed costing sheets look up by base date (Jan-2021).
Overwriting them causes #N/A across the workbook.</t>
      </text>
    </comment>
    <comment ref="C24" authorId="1" shapeId="0" xr:uid="{E2C257D1-D026-4086-B087-65FBA629E4EE}">
      <text>
        <t>[Threaded comment]
Your version of Excel allows you to read this threaded comment; however, any edits to it will get removed if the file is opened in a newer version of Excel. Learn more: https://go.microsoft.com/fwlink/?linkid=870924
Comment:
    Do not type here. Formula pulling the re-based June 2026 value from E50.</t>
      </text>
    </comment>
    <comment ref="E38" authorId="2" shapeId="0" xr:uid="{CA7D5A38-1C80-4AB0-9CB4-A7FE0F8223B8}">
      <text>
        <t>[Threaded comment]
Your version of Excel allows you to read this threaded comment; however, any edits to it will get removed if the file is opened in a newer version of Excel. Learn more: https://go.microsoft.com/fwlink/?linkid=870924
Comment:
    Overlap month. Jun-21 chosen because the guideline uses the June value.
May be changed to any month Feb-21 to Aug-21; both lookups follow.
Note: Jul-21 and Aug-21 give a factor about 0,8% lower, because the Dec 2016 base figures in rows 16-23 were revised by Stats SA after this sheet captured them. Feb-Jun are mutually consistent.</t>
      </text>
    </comment>
    <comment ref="E43" authorId="3" shapeId="0" xr:uid="{491063DC-4D55-4C82-BCA6-45CA7F6ADB16}">
      <text>
        <t>[Threaded comment]
Your version of Excel allows you to read this threaded comment; however, any edits to it will get removed if the file is opened in a newer version of Excel. Learn more: https://go.microsoft.com/fwlink/?linkid=870924
Comment:
    Source: Stats SA, Construction Material Price Indices, December 2023 (P0151.1), Table 1 - CPAP work group indices, Base: Dec 2021=100.
Work group 160 - Electrical installations, Dec 2023 = 103,5.</t>
      </text>
    </comment>
    <comment ref="F43" authorId="4" shapeId="0" xr:uid="{69F87D94-408A-4BD5-A52D-A10E8E5670B0}">
      <text>
        <t>[Threaded comment]
Your version of Excel allows you to read this threaded comment; however, any edits to it will get removed if the file is opened in a newer version of Excel. Learn more: https://go.microsoft.com/fwlink/?linkid=870924
Comment:
    Source: Stats SA, Construction Material Price Indices, December 2023 (P0151.1), Table 1 - CPAP work group indices, Base: Dec 2021=100.
Work group 162 - Electrical reticulation, Dec 2023 = 105,8.</t>
      </text>
    </comment>
    <comment ref="E49" authorId="5" shapeId="0" xr:uid="{501C10ED-34A9-4A3F-9AC9-DFF394DD7A50}">
      <text>
        <r>
          <rPr>
            <b/>
            <sz val="9"/>
            <color indexed="81"/>
            <rFont val="Tahoma"/>
            <charset val="1"/>
          </rPr>
          <t>Zibusiso Ndlovu:</t>
        </r>
        <r>
          <rPr>
            <sz val="9"/>
            <color indexed="81"/>
            <rFont val="Tahoma"/>
            <charset val="1"/>
          </rPr>
          <t xml:space="preserve">
Source: Stats SA, Construction Material Price Indices, June 2026 (P0151.1), Table 1 - CPAP work group indices, Base: Dec 2023=100. Work group 160 - Electrical installations, Jun 2026 = 117,9.</t>
        </r>
      </text>
    </comment>
    <comment ref="F49" authorId="5" shapeId="0" xr:uid="{C9E49D54-006A-4335-B108-2F092C125CCC}">
      <text>
        <r>
          <rPr>
            <b/>
            <sz val="9"/>
            <color indexed="81"/>
            <rFont val="Tahoma"/>
            <charset val="1"/>
          </rPr>
          <t>Zibusiso Ndlovu:</t>
        </r>
        <r>
          <rPr>
            <sz val="9"/>
            <color indexed="81"/>
            <rFont val="Tahoma"/>
            <charset val="1"/>
          </rPr>
          <t xml:space="preserve">
Source: Stats SA, Construction Material Price Indices, June 2026 (P0151.1), Table 1 - CPAP work group indices, Base: Dec 2023=100. Work group 162 - Electrical reticulation, Jun 2026 = 123,1.</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Zibusiso Ndlovu</author>
    <author>Author</author>
  </authors>
  <commentList>
    <comment ref="C3" authorId="0" shapeId="0" xr:uid="{FC4E4795-FAB0-4907-8B8B-8E8619DA4427}">
      <text>
        <r>
          <rPr>
            <b/>
            <sz val="9"/>
            <color indexed="81"/>
            <rFont val="Tahoma"/>
            <charset val="1"/>
          </rPr>
          <t>Zibusiso Ndlovu:</t>
        </r>
        <r>
          <rPr>
            <sz val="9"/>
            <color indexed="81"/>
            <rFont val="Tahoma"/>
            <charset val="1"/>
          </rPr>
          <t xml:space="preserve">
Base date for every rate on this sheet. Matches the Jan-2021 base date used on 'Detail costing substation works' and 'Detail costing retic'. Change here to re-date the whole sheet.</t>
        </r>
      </text>
    </comment>
    <comment ref="D3" authorId="0" shapeId="0" xr:uid="{AD71D458-95AF-4C32-8980-B325E2C90EEC}">
      <text>
        <r>
          <rPr>
            <b/>
            <sz val="9"/>
            <color indexed="81"/>
            <rFont val="Tahoma"/>
            <charset val="1"/>
          </rPr>
          <t>Zibusiso Ndlovu:</t>
        </r>
        <r>
          <rPr>
            <sz val="9"/>
            <color indexed="81"/>
            <rFont val="Tahoma"/>
            <charset val="1"/>
          </rPr>
          <t xml:space="preserve">
Material escalator = WG 162 (Electrical reticulation) latest index / index at base date. Applied to the SUPPLY RATE column.</t>
        </r>
      </text>
    </comment>
    <comment ref="E3" authorId="0" shapeId="0" xr:uid="{B713E88A-819B-422E-AFE1-C82A4EFDC8AF}">
      <text>
        <r>
          <rPr>
            <b/>
            <sz val="9"/>
            <color indexed="81"/>
            <rFont val="Tahoma"/>
            <charset val="1"/>
          </rPr>
          <t>Zibusiso Ndlovu:</t>
        </r>
        <r>
          <rPr>
            <sz val="9"/>
            <color indexed="81"/>
            <rFont val="Tahoma"/>
            <charset val="1"/>
          </rPr>
          <t xml:space="preserve">
Labour escalator = WG 160 (Electrical installations) latest index / index at base date. Applied to the INSTALL RATE column.</t>
        </r>
      </text>
    </comment>
    <comment ref="A159" authorId="1" shapeId="0" xr:uid="{1152AC6C-D918-4EE4-AD23-02C7D9A5F300}">
      <text>
        <r>
          <rPr>
            <b/>
            <sz val="8"/>
            <color indexed="81"/>
            <rFont val="Tahoma"/>
            <family val="2"/>
          </rPr>
          <t>Author:</t>
        </r>
        <r>
          <rPr>
            <sz val="8"/>
            <color indexed="81"/>
            <rFont val="Tahoma"/>
            <family val="2"/>
          </rPr>
          <t xml:space="preserve">
Should we remove</t>
        </r>
      </text>
    </comment>
    <comment ref="A160" authorId="1" shapeId="0" xr:uid="{3E0444DE-A908-4948-A03A-A8E198F34EBD}">
      <text>
        <r>
          <rPr>
            <b/>
            <sz val="8"/>
            <color indexed="81"/>
            <rFont val="Tahoma"/>
            <family val="2"/>
          </rPr>
          <t>Author:</t>
        </r>
        <r>
          <rPr>
            <sz val="8"/>
            <color indexed="81"/>
            <rFont val="Tahoma"/>
            <family val="2"/>
          </rPr>
          <t xml:space="preserve">
Should we remove</t>
        </r>
      </text>
    </comment>
    <comment ref="A161" authorId="1" shapeId="0" xr:uid="{C926442F-C9CD-4550-B180-19FBD8DDF098}">
      <text>
        <r>
          <rPr>
            <b/>
            <sz val="8"/>
            <color indexed="81"/>
            <rFont val="Tahoma"/>
            <family val="2"/>
          </rPr>
          <t>Author:</t>
        </r>
        <r>
          <rPr>
            <sz val="8"/>
            <color indexed="81"/>
            <rFont val="Tahoma"/>
            <family val="2"/>
          </rPr>
          <t xml:space="preserve">
Should we remove</t>
        </r>
      </text>
    </comment>
    <comment ref="A162" authorId="1" shapeId="0" xr:uid="{E320E116-F218-40EF-B518-9F04E1E37181}">
      <text>
        <r>
          <rPr>
            <b/>
            <sz val="8"/>
            <color indexed="81"/>
            <rFont val="Tahoma"/>
            <family val="2"/>
          </rPr>
          <t>Author:</t>
        </r>
        <r>
          <rPr>
            <sz val="8"/>
            <color indexed="81"/>
            <rFont val="Tahoma"/>
            <family val="2"/>
          </rPr>
          <t xml:space="preserve">
Should we remove</t>
        </r>
      </text>
    </comment>
  </commentList>
</comments>
</file>

<file path=xl/sharedStrings.xml><?xml version="1.0" encoding="utf-8"?>
<sst xmlns="http://schemas.openxmlformats.org/spreadsheetml/2006/main" count="1067" uniqueCount="660">
  <si>
    <t>ASSET VALUE ESTIMATION METHOD</t>
  </si>
  <si>
    <t>INPUT SHEET</t>
  </si>
  <si>
    <t>Municipality</t>
  </si>
  <si>
    <r>
      <rPr>
        <b/>
        <sz val="11"/>
        <color rgb="FFFF0000"/>
        <rFont val="Calibri"/>
        <family val="2"/>
        <scheme val="minor"/>
      </rPr>
      <t>XYZ</t>
    </r>
    <r>
      <rPr>
        <b/>
        <sz val="11"/>
        <color theme="1"/>
        <rFont val="Calibri"/>
        <family val="2"/>
        <scheme val="minor"/>
      </rPr>
      <t xml:space="preserve"> LOCAL MUNICIPALITY</t>
    </r>
  </si>
  <si>
    <t>Supply points</t>
  </si>
  <si>
    <t>Supply point</t>
  </si>
  <si>
    <t>Connection voltage (kV)</t>
  </si>
  <si>
    <t>NMD (kVA)</t>
  </si>
  <si>
    <t>Energy Purchased (kWh)</t>
  </si>
  <si>
    <t>Demand purchased (kVA)</t>
  </si>
  <si>
    <t>TOTAL</t>
  </si>
  <si>
    <t>Underground</t>
  </si>
  <si>
    <t>Overhead</t>
  </si>
  <si>
    <t>NERSA Form D Energy Sales</t>
  </si>
  <si>
    <t>Additional parameters against tariff</t>
  </si>
  <si>
    <t>Tariff Name</t>
  </si>
  <si>
    <t>Load profile code</t>
  </si>
  <si>
    <t>Tariff structure code</t>
  </si>
  <si>
    <t>Number of consumers</t>
  </si>
  <si>
    <t>Energy Sales (kWh)</t>
  </si>
  <si>
    <t>Network level</t>
  </si>
  <si>
    <t>kVA / consumer / month (demand charge)</t>
  </si>
  <si>
    <t>kVA / consumer / month (network access charge)</t>
  </si>
  <si>
    <t>kVarh / consumer / month</t>
  </si>
  <si>
    <t>Load factor</t>
  </si>
  <si>
    <t>LV</t>
  </si>
  <si>
    <t>MV</t>
  </si>
  <si>
    <t>Main network elements</t>
  </si>
  <si>
    <t>Per supply point</t>
  </si>
  <si>
    <t>No. of MV overhead line feeders</t>
  </si>
  <si>
    <t>No. of MV/LV Minisubs</t>
  </si>
  <si>
    <t>No. of MV/LV building mounted transformers</t>
  </si>
  <si>
    <t>No. of MV/LV pole mounted transformers</t>
  </si>
  <si>
    <t>MV/LV Transformer installed capacity (kVA)</t>
  </si>
  <si>
    <t>No. of HV customers</t>
  </si>
  <si>
    <t>No. of MV customers</t>
  </si>
  <si>
    <t>No. of LV bulk customers</t>
  </si>
  <si>
    <t>Parameter</t>
  </si>
  <si>
    <t>Assumed value</t>
  </si>
  <si>
    <t>Calculated value</t>
  </si>
  <si>
    <t>Actual value</t>
  </si>
  <si>
    <t>Total demand (kVA)</t>
  </si>
  <si>
    <t>Typical MV feeder capacity (kVA)</t>
  </si>
  <si>
    <t>Total no. of MV feeders</t>
  </si>
  <si>
    <t>No. of MV feeders per switching station</t>
  </si>
  <si>
    <t>MV/LV transformer average size (kVA)</t>
  </si>
  <si>
    <t>400-600kVA, unless mostly from overhead network (100-200kVA)</t>
  </si>
  <si>
    <t>No. of MV/LV transformers</t>
  </si>
  <si>
    <t>No. MV/LV transformers per ring</t>
  </si>
  <si>
    <t>Average distance of MV cable between MV/LV transformers (m)</t>
  </si>
  <si>
    <t>300 to 400m</t>
  </si>
  <si>
    <t>Total length MV cable (km)</t>
  </si>
  <si>
    <t>Total length MV per ring (km)</t>
  </si>
  <si>
    <t>4-6km</t>
  </si>
  <si>
    <t>No. of LV feeders per MV/LV transformer</t>
  </si>
  <si>
    <t>Total No. of LV feeders</t>
  </si>
  <si>
    <t>Average length of LV feeder (m)</t>
  </si>
  <si>
    <t>200-400m</t>
  </si>
  <si>
    <t>Total LV feeder length (km)</t>
  </si>
  <si>
    <t>Average spacing between streetlights (m)</t>
  </si>
  <si>
    <r>
      <t>Average stand size (m</t>
    </r>
    <r>
      <rPr>
        <b/>
        <vertAlign val="superscript"/>
        <sz val="11"/>
        <color rgb="FFFFFFFF"/>
        <rFont val="Calibri"/>
        <family val="2"/>
        <scheme val="minor"/>
      </rPr>
      <t>2</t>
    </r>
    <r>
      <rPr>
        <b/>
        <sz val="11"/>
        <color rgb="FFFFFFFF"/>
        <rFont val="Calibri"/>
        <family val="2"/>
        <scheme val="minor"/>
      </rPr>
      <t>)</t>
    </r>
  </si>
  <si>
    <t>Total streetlength (km)</t>
  </si>
  <si>
    <t>Total Streetlights</t>
  </si>
  <si>
    <t>Total streetlight cable (km)</t>
  </si>
  <si>
    <t>A</t>
  </si>
  <si>
    <t>B</t>
  </si>
  <si>
    <t>C</t>
  </si>
  <si>
    <t>E</t>
  </si>
  <si>
    <t>F</t>
  </si>
  <si>
    <t>Major summarized item (for detailed cost calculation, refer to detailed costing sheet for substation works or MV/LV reticulation works</t>
  </si>
  <si>
    <t>UoM</t>
  </si>
  <si>
    <t>Total Qty</t>
  </si>
  <si>
    <t>Cost per unit</t>
  </si>
  <si>
    <t>Total cost</t>
  </si>
  <si>
    <t>Lot</t>
  </si>
  <si>
    <t>88kV Incomer bays - Outdoor</t>
  </si>
  <si>
    <t>ea</t>
  </si>
  <si>
    <t>88kV Outdoor Feeder breakers</t>
  </si>
  <si>
    <t>33 kV incomer bays (Main sub)</t>
  </si>
  <si>
    <t>33 kV busbar (Main sub)  (incl. all building works &amp; common services)</t>
  </si>
  <si>
    <t>33 kV outdoor feeders (Main sub)</t>
  </si>
  <si>
    <t>m</t>
  </si>
  <si>
    <t>33KV OHL</t>
  </si>
  <si>
    <t>km</t>
  </si>
  <si>
    <t>33/11kV transformers</t>
  </si>
  <si>
    <t>11kV incomers - main sub</t>
  </si>
  <si>
    <t>11kV busbars - main sub (incl. all building works &amp; common services)</t>
  </si>
  <si>
    <t>11kV Feeders - main sub</t>
  </si>
  <si>
    <t>11kV incomers - switching sub</t>
  </si>
  <si>
    <t>11kV busbars - switching sub (incl. all building works &amp; common services)</t>
  </si>
  <si>
    <t>11kV Feeders - switching sub</t>
  </si>
  <si>
    <t>Ring main unit with CT/VT unit</t>
  </si>
  <si>
    <t>LV Kiosk</t>
  </si>
  <si>
    <t>Summary of network level; contribution to asset value</t>
  </si>
  <si>
    <t>based on typical replacement values</t>
  </si>
  <si>
    <t>Estimated asset value</t>
  </si>
  <si>
    <t>% Network level</t>
  </si>
  <si>
    <t>HV</t>
  </si>
  <si>
    <t>Check total</t>
  </si>
  <si>
    <t>CALCULATION SHEET FOR SUBSTATION UNIT COSTS</t>
  </si>
  <si>
    <t>D</t>
  </si>
  <si>
    <t>G</t>
  </si>
  <si>
    <t>H</t>
  </si>
  <si>
    <t>I</t>
  </si>
  <si>
    <t>J</t>
  </si>
  <si>
    <t>K</t>
  </si>
  <si>
    <t>L</t>
  </si>
  <si>
    <t>M</t>
  </si>
  <si>
    <t>N</t>
  </si>
  <si>
    <t>O</t>
  </si>
  <si>
    <t>P</t>
  </si>
  <si>
    <t>Q</t>
  </si>
  <si>
    <t>R</t>
  </si>
  <si>
    <t>S</t>
  </si>
  <si>
    <t>T</t>
  </si>
  <si>
    <t>U</t>
  </si>
  <si>
    <t>88/33/11kV/400V</t>
  </si>
  <si>
    <t>No.</t>
  </si>
  <si>
    <t>Description</t>
  </si>
  <si>
    <t>Material</t>
  </si>
  <si>
    <t>Labour</t>
  </si>
  <si>
    <t>Rate</t>
  </si>
  <si>
    <t>Typical full substation QTY</t>
  </si>
  <si>
    <t>Total amount</t>
  </si>
  <si>
    <t>88kV incoming line</t>
  </si>
  <si>
    <t>88kV outdoor Busbar &amp; bussectionalizers and other common associated cost</t>
  </si>
  <si>
    <t>88/33kV transformer bay</t>
  </si>
  <si>
    <t>33kV Outdoor Incomers (Primary sub)</t>
  </si>
  <si>
    <t>33kV Outdoor bus-setionalizers, other common and associated cost (Primary sub)</t>
  </si>
  <si>
    <t>33kV outdoor feeders (Primary sub)</t>
  </si>
  <si>
    <r>
      <t>2x 33kV 800mm</t>
    </r>
    <r>
      <rPr>
        <b/>
        <vertAlign val="superscript"/>
        <sz val="10"/>
        <color theme="1"/>
        <rFont val="Arial"/>
        <family val="2"/>
      </rPr>
      <t>2</t>
    </r>
    <r>
      <rPr>
        <b/>
        <sz val="10"/>
        <color theme="1"/>
        <rFont val="Arial"/>
        <family val="2"/>
      </rPr>
      <t xml:space="preserve"> Al 3x1C feeders XLPE</t>
    </r>
  </si>
  <si>
    <t>33kV Indoor Incomers (33/11kV sub)</t>
  </si>
  <si>
    <t>33kV Indoor bus-setionalizers, other common and associated cost (33/11kV sub)</t>
  </si>
  <si>
    <t>33kV Indoor feeders (33/11kV sub)</t>
  </si>
  <si>
    <t>33/11kV transformer bay</t>
  </si>
  <si>
    <t>88/11kV transformer bay</t>
  </si>
  <si>
    <t>11kV incomers (Main sub)</t>
  </si>
  <si>
    <t>11kV bus-couplers and other common associated cost (Main sub)</t>
  </si>
  <si>
    <t>11kV feeder breakers (Main sub)</t>
  </si>
  <si>
    <t>Preliminary &amp; General cost</t>
  </si>
  <si>
    <t>Sum</t>
  </si>
  <si>
    <t>Sub-station building, earthworks etc.</t>
  </si>
  <si>
    <t>Substation Earthworks, Platform, Access road, Stormwater drainage etc.</t>
  </si>
  <si>
    <r>
      <t>m</t>
    </r>
    <r>
      <rPr>
        <vertAlign val="superscript"/>
        <sz val="10"/>
        <color theme="1"/>
        <rFont val="Arial"/>
        <family val="2"/>
      </rPr>
      <t>2</t>
    </r>
  </si>
  <si>
    <t>Earthmat</t>
  </si>
  <si>
    <t>m²</t>
  </si>
  <si>
    <t>25-35mm dia Yardstone 100mm thick layer</t>
  </si>
  <si>
    <t>m³</t>
  </si>
  <si>
    <t>Galvanised Pallissade Fence</t>
  </si>
  <si>
    <t>Substation Building suitable for 33kV Indoor Switchgear &amp; Control room</t>
  </si>
  <si>
    <t>Substation Building suitable for 11kV Indoor Switchgear.</t>
  </si>
  <si>
    <t>Control Room</t>
  </si>
  <si>
    <t>Power Plant Work</t>
  </si>
  <si>
    <t>Excavations (support foundations)</t>
  </si>
  <si>
    <t>3.1.1</t>
  </si>
  <si>
    <t>33kV Kiosk Circuit breaker</t>
  </si>
  <si>
    <t>3.1.2</t>
  </si>
  <si>
    <t>88kV Circuitbreaker</t>
  </si>
  <si>
    <t>3.1.3</t>
  </si>
  <si>
    <t xml:space="preserve">33kV Isolator  2500A </t>
  </si>
  <si>
    <t>3.1.4</t>
  </si>
  <si>
    <t xml:space="preserve">88kV Isolator  2500A </t>
  </si>
  <si>
    <t>3.1.5</t>
  </si>
  <si>
    <t>88kV Tubular Busbar Support</t>
  </si>
  <si>
    <t>3.1.6</t>
  </si>
  <si>
    <t>Medium Equipment Support</t>
  </si>
  <si>
    <t>3.1.7</t>
  </si>
  <si>
    <t>88kV 132 C Column Foundation</t>
  </si>
  <si>
    <t>3.1.8</t>
  </si>
  <si>
    <t>14m Lighting Lightning Mast</t>
  </si>
  <si>
    <t>3.1.9</t>
  </si>
  <si>
    <t>21m Lighting Lightning Mast</t>
  </si>
  <si>
    <t>3.1.10</t>
  </si>
  <si>
    <t>20-40MVA Transformer</t>
  </si>
  <si>
    <t>3.1.11</t>
  </si>
  <si>
    <t>MV Box Structure (Busbar) Column</t>
  </si>
  <si>
    <t>3.1.12</t>
  </si>
  <si>
    <t>3.1.13</t>
  </si>
  <si>
    <t>NEC NER/AUX Transformer</t>
  </si>
  <si>
    <t>3.1.14</t>
  </si>
  <si>
    <t>33kV Knife Link Support</t>
  </si>
  <si>
    <t>3.1.15</t>
  </si>
  <si>
    <t>Oil Holding dam</t>
  </si>
  <si>
    <t>Concrete work  Support Foundations - Including all</t>
  </si>
  <si>
    <t>3.2.1</t>
  </si>
  <si>
    <t>3.2.2</t>
  </si>
  <si>
    <t>3.2.3</t>
  </si>
  <si>
    <t xml:space="preserve">33kV Isolator 2500A </t>
  </si>
  <si>
    <t>3.2.4</t>
  </si>
  <si>
    <t xml:space="preserve">88kV Isolator 2500A </t>
  </si>
  <si>
    <t>3.2.5</t>
  </si>
  <si>
    <t>3.2.6</t>
  </si>
  <si>
    <t>3.2.7</t>
  </si>
  <si>
    <t>3.2.8</t>
  </si>
  <si>
    <t>3.2.9</t>
  </si>
  <si>
    <t>3.2.10</t>
  </si>
  <si>
    <t>3.2.11</t>
  </si>
  <si>
    <t>MV Box Structure Column</t>
  </si>
  <si>
    <t>3.2.12</t>
  </si>
  <si>
    <t>3.2.13</t>
  </si>
  <si>
    <t>3.2.14</t>
  </si>
  <si>
    <t>3.2.15</t>
  </si>
  <si>
    <t xml:space="preserve">Steelwork  Equipment Supports </t>
  </si>
  <si>
    <t>3.3.1</t>
  </si>
  <si>
    <t>3.3.2</t>
  </si>
  <si>
    <t>3.3.3</t>
  </si>
  <si>
    <t>3.3.4</t>
  </si>
  <si>
    <t>3.3.5</t>
  </si>
  <si>
    <t>3.3.6</t>
  </si>
  <si>
    <t>3.3.7</t>
  </si>
  <si>
    <t>88kV 132 C Column</t>
  </si>
  <si>
    <t>3.3.8</t>
  </si>
  <si>
    <t>88kV 132 34 1 Beam</t>
  </si>
  <si>
    <t>3.3.9</t>
  </si>
  <si>
    <t>3.3.10</t>
  </si>
  <si>
    <t>3.3.11</t>
  </si>
  <si>
    <t>MV Box Structure Complete per bay</t>
  </si>
  <si>
    <t>3.3.12</t>
  </si>
  <si>
    <t>3.3.13</t>
  </si>
  <si>
    <t>NEC NER AUX Transformer</t>
  </si>
  <si>
    <t>3.3.14</t>
  </si>
  <si>
    <t>Equipment</t>
  </si>
  <si>
    <t>3.4.1</t>
  </si>
  <si>
    <t>11kV Indoor Incomer Breaker</t>
  </si>
  <si>
    <t>3.4.2</t>
  </si>
  <si>
    <t>11kV Indoor Bus-Section Breaker</t>
  </si>
  <si>
    <t>3.4.3</t>
  </si>
  <si>
    <t>11kV Indoor Feeder Breaker</t>
  </si>
  <si>
    <t>3.4.4</t>
  </si>
  <si>
    <t>3.4.5</t>
  </si>
  <si>
    <t>3.4.6</t>
  </si>
  <si>
    <t>3.4.7</t>
  </si>
  <si>
    <t>88kV Current Transformer</t>
  </si>
  <si>
    <t>3.4.8</t>
  </si>
  <si>
    <t>88kV Voltage Transformer</t>
  </si>
  <si>
    <t>3.4.9</t>
  </si>
  <si>
    <t>33kV Indoor Incomer Breaker</t>
  </si>
  <si>
    <t>3.4.10</t>
  </si>
  <si>
    <t>33kV Indoor Bus-Section Breaker</t>
  </si>
  <si>
    <t>3.4.11</t>
  </si>
  <si>
    <t>33kV Indoor Feeder Breaker</t>
  </si>
  <si>
    <t>3.4.12</t>
  </si>
  <si>
    <t>33kV Voltage Transformer</t>
  </si>
  <si>
    <t>3.4.13</t>
  </si>
  <si>
    <t>88/33kV 40MVA Transformer</t>
  </si>
  <si>
    <t>3.4.14</t>
  </si>
  <si>
    <t>88/11kV 20MVA Transformer</t>
  </si>
  <si>
    <t>3.4.15</t>
  </si>
  <si>
    <t>33/11kV 20MVA Transformer</t>
  </si>
  <si>
    <t>3.4.16</t>
  </si>
  <si>
    <t xml:space="preserve">NEC NER AUX Transformer  33kV </t>
  </si>
  <si>
    <t>3.4.17</t>
  </si>
  <si>
    <t xml:space="preserve">NEC NER AUX Transformer  11kV </t>
  </si>
  <si>
    <t>3.4.18</t>
  </si>
  <si>
    <t>88kV Surge Arrester</t>
  </si>
  <si>
    <t>3.4.19</t>
  </si>
  <si>
    <t>33kV Surge Arrester</t>
  </si>
  <si>
    <t>3.4.20</t>
  </si>
  <si>
    <t>11kV Surge Arrester</t>
  </si>
  <si>
    <t>3.4.21</t>
  </si>
  <si>
    <t>Hardware</t>
  </si>
  <si>
    <t>3.5.1</t>
  </si>
  <si>
    <t>Stringing</t>
  </si>
  <si>
    <t>3.6.1</t>
  </si>
  <si>
    <t>Centipede AAC Conductor</t>
  </si>
  <si>
    <t>3.6.2</t>
  </si>
  <si>
    <t>Bull AAC Conductor</t>
  </si>
  <si>
    <t>3.6.6</t>
  </si>
  <si>
    <t xml:space="preserve">120 X 4mm Aluminium Tubular Busbar  12m Lengths </t>
  </si>
  <si>
    <t>3.6.7</t>
  </si>
  <si>
    <t xml:space="preserve">80 X 8mm Aluminium Tubular Busbar 6m Lengths </t>
  </si>
  <si>
    <t>Control Plant</t>
  </si>
  <si>
    <t>3.7.1</t>
  </si>
  <si>
    <t>HV Feeder Protection &amp; Metering</t>
  </si>
  <si>
    <t>3.7.2</t>
  </si>
  <si>
    <t>Transformer Protection &amp; Metering</t>
  </si>
  <si>
    <t>3.7.3</t>
  </si>
  <si>
    <t>MV Breaker Protection &amp; Metering</t>
  </si>
  <si>
    <t>3.7.4</t>
  </si>
  <si>
    <t>AC/DC Panel</t>
  </si>
  <si>
    <t>3.7.5</t>
  </si>
  <si>
    <t>Buszone</t>
  </si>
  <si>
    <t>3.7.6</t>
  </si>
  <si>
    <t>Control Cables</t>
  </si>
  <si>
    <t>Item</t>
  </si>
  <si>
    <t>3.9.1</t>
  </si>
  <si>
    <t>Basic SCADA &amp; Telecontrol Installation</t>
  </si>
  <si>
    <t>5.11.1</t>
  </si>
  <si>
    <t>Battery Charger Complete with Batteries and AC/DC Panel</t>
  </si>
  <si>
    <t>33kV Cable Work</t>
  </si>
  <si>
    <t>3.8.1</t>
  </si>
  <si>
    <r>
      <t>800mm</t>
    </r>
    <r>
      <rPr>
        <vertAlign val="superscript"/>
        <sz val="10"/>
        <color theme="1"/>
        <rFont val="Arial"/>
        <family val="2"/>
      </rPr>
      <t xml:space="preserve">2 </t>
    </r>
    <r>
      <rPr>
        <sz val="11"/>
        <color theme="1"/>
        <rFont val="Calibri"/>
        <family val="2"/>
        <scheme val="minor"/>
      </rPr>
      <t>Al, Single Core, XLPE 33kV Cable</t>
    </r>
  </si>
  <si>
    <t>3.8.2</t>
  </si>
  <si>
    <t>Optical fibre 12-core</t>
  </si>
  <si>
    <t>3.8.3</t>
  </si>
  <si>
    <t>Sleeves for optical fibre</t>
  </si>
  <si>
    <t>3.8.4</t>
  </si>
  <si>
    <t>3.8.5</t>
  </si>
  <si>
    <t>3.8.6</t>
  </si>
  <si>
    <r>
      <t>Joint: 800mm</t>
    </r>
    <r>
      <rPr>
        <vertAlign val="superscript"/>
        <sz val="10"/>
        <color theme="1"/>
        <rFont val="Arial"/>
        <family val="2"/>
      </rPr>
      <t xml:space="preserve">2 </t>
    </r>
    <r>
      <rPr>
        <sz val="11"/>
        <color theme="1"/>
        <rFont val="Calibri"/>
        <family val="2"/>
        <scheme val="minor"/>
      </rPr>
      <t>Al, Single Core, XLPE 33kV Cable</t>
    </r>
  </si>
  <si>
    <t>3.8.7</t>
  </si>
  <si>
    <t>Excavation: 33kV cables</t>
  </si>
  <si>
    <t>m3</t>
  </si>
  <si>
    <t>Commissioning</t>
  </si>
  <si>
    <t>Complete Commissioning of Substation</t>
  </si>
  <si>
    <t>Other</t>
  </si>
  <si>
    <t>EIA - Substation / Lines</t>
  </si>
  <si>
    <t>Geotechnical study - Substation / Lines</t>
  </si>
  <si>
    <t>Surveying - substations &amp; Lines</t>
  </si>
  <si>
    <t>Professional fees - substation / lines</t>
  </si>
  <si>
    <t>Total</t>
  </si>
  <si>
    <t>Number of units</t>
  </si>
  <si>
    <t>Cost per units</t>
  </si>
  <si>
    <t>Cost per unit rounded to nearest 1000 for values above R100000, nearest R100 for values between R10000 and R10000, and to nearest R10 for values below R10000</t>
  </si>
  <si>
    <t>Pro-rata cost share excl. P&amp;G's and Prof Fees</t>
  </si>
  <si>
    <t>CALCULATION SHEET FOR RETICULATION NETWORK UNIT COSTS</t>
  </si>
  <si>
    <t>No of Bays / meter cable or km line</t>
  </si>
  <si>
    <r>
      <t>2x 11kV 400mm</t>
    </r>
    <r>
      <rPr>
        <b/>
        <vertAlign val="superscript"/>
        <sz val="10"/>
        <color theme="1"/>
        <rFont val="Arial"/>
        <family val="2"/>
      </rPr>
      <t>2</t>
    </r>
    <r>
      <rPr>
        <b/>
        <sz val="10"/>
        <color theme="1"/>
        <rFont val="Arial"/>
        <family val="2"/>
      </rPr>
      <t xml:space="preserve"> Al 1x3C XLPE Type B Feeders</t>
    </r>
  </si>
  <si>
    <t>11kV incomers (Switching sub)</t>
  </si>
  <si>
    <t>11kV bus-couplers and other common associated cost (Switching sub)</t>
  </si>
  <si>
    <t>11kV feeder breakers (switching sub)</t>
  </si>
  <si>
    <t>11kV feeder ring</t>
  </si>
  <si>
    <t>RMU - 11kV connection</t>
  </si>
  <si>
    <t>Minisub</t>
  </si>
  <si>
    <t>LV feeder</t>
  </si>
  <si>
    <t>11kV o/head line</t>
  </si>
  <si>
    <t>Pole transformer</t>
  </si>
  <si>
    <t>LV o/head line</t>
  </si>
  <si>
    <t>11kV switching substation building works</t>
  </si>
  <si>
    <t>Substation primary plant equipment</t>
  </si>
  <si>
    <t>Substation Control Plant</t>
  </si>
  <si>
    <t>Substation commissioning</t>
  </si>
  <si>
    <t>11kV Cable Work - primary cables</t>
  </si>
  <si>
    <t>400mm2 Al, three Core, XLPE 11kV Cable</t>
  </si>
  <si>
    <t>Termination: 400mm2 Al, three Core, XLPE 11kV Cable Indoor</t>
  </si>
  <si>
    <t>Termination: 400mm2 Al, three Core, XLPE 11kV Cable Outdoor</t>
  </si>
  <si>
    <t>Joint: 400mm2 Al, three Core, XLPE 33kV Cable</t>
  </si>
  <si>
    <t>Excavation: 11kV cables</t>
  </si>
  <si>
    <t>11kV Cable Work - secondary cables</t>
  </si>
  <si>
    <t>70mm2 Al, three Core, XLPE 11kV Cable</t>
  </si>
  <si>
    <t>Termination: 70mm2 Al, three Core, XLPE 11kV Cable Indoor</t>
  </si>
  <si>
    <t>Joint: 70mm2 Al, three Core, XLPE 33kV Cable</t>
  </si>
  <si>
    <t>11kV Retic equipment</t>
  </si>
  <si>
    <t>500 kVA 11000/400V Minisub Type B</t>
  </si>
  <si>
    <t>Plinth for RMU</t>
  </si>
  <si>
    <t>LV U/G retic</t>
  </si>
  <si>
    <t>LV breaker in minisub</t>
  </si>
  <si>
    <t>LV Feeder - 120mm2 Al 4-core</t>
  </si>
  <si>
    <t>70mm2 BCEW</t>
  </si>
  <si>
    <t>Terminate LV feeder cable</t>
  </si>
  <si>
    <t>Terminate BCEW</t>
  </si>
  <si>
    <t>Excavations for LV cable</t>
  </si>
  <si>
    <t>LV Kiosk- 9way</t>
  </si>
  <si>
    <t>Professional fees - substation</t>
  </si>
  <si>
    <t>Cost excl. P&amp;G's and Prof. Fees</t>
  </si>
  <si>
    <t>DESCRIPTION</t>
  </si>
  <si>
    <t>SUPPLY RATE</t>
  </si>
  <si>
    <t>INSTALL RATE</t>
  </si>
  <si>
    <t>TOTAL AMOUNT</t>
  </si>
  <si>
    <t>TRFR</t>
  </si>
  <si>
    <t>Pegging out the works</t>
  </si>
  <si>
    <t>MV Pegging - excl bush clearing and tree felling</t>
  </si>
  <si>
    <t>LV Pegging - excl bush clearing and tree felling</t>
  </si>
  <si>
    <t>Bush Clearing and Tree Felling</t>
  </si>
  <si>
    <t>Digging Holes</t>
  </si>
  <si>
    <t>LV stay back-actor or hand</t>
  </si>
  <si>
    <t>e.a.</t>
  </si>
  <si>
    <t>Compressors</t>
  </si>
  <si>
    <t>MV stay back-actor or hand</t>
  </si>
  <si>
    <t xml:space="preserve"> 7m Pole back-actor or hand</t>
  </si>
  <si>
    <t xml:space="preserve"> 9m Pole back-actor or hand</t>
  </si>
  <si>
    <t>10m Pole back-actor or hand</t>
  </si>
  <si>
    <t>11m Pole back-actor or hand</t>
  </si>
  <si>
    <t>12m Pole back-actor or hand</t>
  </si>
  <si>
    <t>Plant poles</t>
  </si>
  <si>
    <t xml:space="preserve"> 7m Wood 120-140mm tops</t>
  </si>
  <si>
    <t xml:space="preserve"> 9m Wood 140-160mm tops</t>
  </si>
  <si>
    <t xml:space="preserve"> 9m Wood  160-180 mm tops</t>
  </si>
  <si>
    <t>10m Wood 160-180mm tops</t>
  </si>
  <si>
    <t>10m Wood 180-200mm tops</t>
  </si>
  <si>
    <t>11m Wood 160-180mm tops</t>
  </si>
  <si>
    <t>11m Wood 180-200mm tops</t>
  </si>
  <si>
    <t>12m Wood 180-200mm tops</t>
  </si>
  <si>
    <t>13m Wood 180-200mm tops</t>
  </si>
  <si>
    <t>THREE  PHASE</t>
  </si>
  <si>
    <t>Int ass stag vertical ( 0 deg )3ph</t>
  </si>
  <si>
    <t>Strain ass delta (30-60 deg)</t>
  </si>
  <si>
    <t>Strain ass delta (60-90 deg)</t>
  </si>
  <si>
    <t>T-off ass int vert</t>
  </si>
  <si>
    <t>Terminal ass vert</t>
  </si>
  <si>
    <t>In-line strain vert</t>
  </si>
  <si>
    <t>MV Stays</t>
  </si>
  <si>
    <t>1 Off conv anchor</t>
  </si>
  <si>
    <t>1 Off flying stay</t>
  </si>
  <si>
    <t>1 Off strut pole 9m</t>
  </si>
  <si>
    <t>LV Structures</t>
  </si>
  <si>
    <t>Int / susp (0-30 deg)</t>
  </si>
  <si>
    <t>Strain (0-60 deg)</t>
  </si>
  <si>
    <t>Strain (60-90 deg)</t>
  </si>
  <si>
    <t>Terminal</t>
  </si>
  <si>
    <t>T-off from interm</t>
  </si>
  <si>
    <t>T-off from strain</t>
  </si>
  <si>
    <t>Cross int-int ass</t>
  </si>
  <si>
    <t>Cross int-strain ass</t>
  </si>
  <si>
    <t>LV Stays</t>
  </si>
  <si>
    <t>Unit</t>
  </si>
  <si>
    <t>1 Off strut pole 7m</t>
  </si>
  <si>
    <t>Service Boxes</t>
  </si>
  <si>
    <t xml:space="preserve">1 - 2 Way box : 1 x 63 A mcb </t>
  </si>
  <si>
    <t>1 - 4 Way box : 1 x 63 A mcb</t>
  </si>
  <si>
    <t>Fox conductor</t>
  </si>
  <si>
    <t>Mink conductor</t>
  </si>
  <si>
    <t>Hare conductor</t>
  </si>
  <si>
    <t>Squirrel conductor</t>
  </si>
  <si>
    <t>Wolf conductor</t>
  </si>
  <si>
    <t>35 mm sq ABC 1-ph</t>
  </si>
  <si>
    <t>35 mm sq ABC 2-ph</t>
  </si>
  <si>
    <t>35 mm sq ABC 3-ph</t>
  </si>
  <si>
    <t>70 mm sq ABC  3-ph</t>
  </si>
  <si>
    <t>95 mm sq ABC  3-ph</t>
  </si>
  <si>
    <t>MV full tension joint</t>
  </si>
  <si>
    <t>LV joint 35 mm full tension</t>
  </si>
  <si>
    <t>LV joint 70 mm full tension</t>
  </si>
  <si>
    <t>Transformer Installation</t>
  </si>
  <si>
    <t>100kVA x 3 Ph (2 off) - new</t>
  </si>
  <si>
    <t>50kVA x 3 Ph (0 off) - new</t>
  </si>
  <si>
    <t>32kVA x 2 Ph (0 off) - new</t>
  </si>
  <si>
    <t>25kVA x 3 Ph (0 off) - new</t>
  </si>
  <si>
    <t>16kVA x 1 Ph (1 off) - new</t>
  </si>
  <si>
    <t>LV Protection Morsdorf type fuses</t>
  </si>
  <si>
    <t xml:space="preserve"> 63 A Single Phase (16kVA]</t>
  </si>
  <si>
    <t xml:space="preserve"> 80A Dual phase (32kVA)</t>
  </si>
  <si>
    <t xml:space="preserve"> 80A Three Phase (50kVA)</t>
  </si>
  <si>
    <t>160A Three Phase (100kVA)</t>
  </si>
  <si>
    <t>Installation Earthing</t>
  </si>
  <si>
    <t>MV Earthing (Type 1 crowfoot)</t>
  </si>
  <si>
    <t>LV Earthing (Type 1 crowfoot)</t>
  </si>
  <si>
    <t>Bonding</t>
  </si>
  <si>
    <t>Pole Numbering</t>
  </si>
  <si>
    <t>MV pole number</t>
  </si>
  <si>
    <t>LV pole number</t>
  </si>
  <si>
    <t>Test &amp; commission trsf and MV equipment</t>
  </si>
  <si>
    <t>Link assembly  ( On-load) per phase</t>
  </si>
  <si>
    <t>Link assembly  (Off load) per phase</t>
  </si>
  <si>
    <t>Drop-out fuses three phase</t>
  </si>
  <si>
    <t>Drop-out fuses dual phase</t>
  </si>
  <si>
    <t>Sample line /Material Board</t>
  </si>
  <si>
    <t>sum</t>
  </si>
  <si>
    <t>CT/VT unit, incl meter box, links</t>
  </si>
  <si>
    <t>Remove existing poles</t>
  </si>
  <si>
    <t>Remove existing conductor</t>
  </si>
  <si>
    <t>Remove existing stay</t>
  </si>
  <si>
    <t>Remove existing transformer</t>
  </si>
  <si>
    <t>Remove existing dressing</t>
  </si>
  <si>
    <t>Ant-clim device</t>
  </si>
  <si>
    <t>Equipment Labeling</t>
  </si>
  <si>
    <t>House Connections</t>
  </si>
  <si>
    <t>'Supply ECU base, fixing rails and plug</t>
  </si>
  <si>
    <t>Overhead  connection</t>
  </si>
  <si>
    <t>Customer Interface Unit</t>
  </si>
  <si>
    <t>Supply 60A ED (no internal ELPU)</t>
  </si>
  <si>
    <t>Sealing of meters</t>
  </si>
  <si>
    <t>COC certificates</t>
  </si>
  <si>
    <t>Supply and install additional 63A circuit breaker</t>
  </si>
  <si>
    <t>Capture and upload of customer data new &amp; Existing</t>
  </si>
  <si>
    <t>Excavate and plant poles</t>
  </si>
  <si>
    <t>5m Wood 80-100 mm tops</t>
  </si>
  <si>
    <t>7m Wood 120-140 mm tops</t>
  </si>
  <si>
    <t>Shackpole Dressing</t>
  </si>
  <si>
    <t>Conductor (Installation incl service conn. rate)</t>
  </si>
  <si>
    <t xml:space="preserve"> 4mm sq Airdac</t>
  </si>
  <si>
    <t>10mm sq Airdac (with communication core)</t>
  </si>
  <si>
    <t>per unit</t>
  </si>
  <si>
    <t>per conn.</t>
  </si>
  <si>
    <t>unit</t>
  </si>
  <si>
    <t>per Trfr Zone</t>
  </si>
  <si>
    <t>No of Bays &gt;&gt;&gt;</t>
  </si>
  <si>
    <t>Rate applied</t>
  </si>
  <si>
    <t>WG 160</t>
  </si>
  <si>
    <t>WG 162</t>
  </si>
  <si>
    <t>WG160 used</t>
  </si>
  <si>
    <t>WG162 used</t>
  </si>
  <si>
    <t>Use for material</t>
  </si>
  <si>
    <t>Use for labour</t>
  </si>
  <si>
    <t>Base index:</t>
  </si>
  <si>
    <t>Base date
[YYYY/MM/01 -will display MMM-YY]</t>
  </si>
  <si>
    <t>If no index is indicated in the rates, then this base index applies</t>
  </si>
  <si>
    <t>The user can enter new dates and new indices as required in the first three columns.</t>
  </si>
  <si>
    <t>Stats SA P0151 publication</t>
  </si>
  <si>
    <t>Adjustable indices</t>
  </si>
  <si>
    <t>Electrical Installations</t>
  </si>
  <si>
    <t>Electrical Reticulation</t>
  </si>
  <si>
    <t>These values are used in calculations to adjust the base rates against a base index.</t>
  </si>
  <si>
    <t>New rate =  Rate x Latest index / Base index</t>
  </si>
  <si>
    <t>Latest index used</t>
  </si>
  <si>
    <t>Running account of latest indices</t>
  </si>
  <si>
    <t>Date used</t>
  </si>
  <si>
    <t>Escalation Material rate</t>
  </si>
  <si>
    <t>Escalation Labour rate</t>
  </si>
  <si>
    <t>Cable End support</t>
  </si>
  <si>
    <t>LED Luminaire</t>
  </si>
  <si>
    <t>Clamps - Lot</t>
  </si>
  <si>
    <t>Optical fibre 48-core</t>
  </si>
  <si>
    <r>
      <t>Termination: 800mm</t>
    </r>
    <r>
      <rPr>
        <vertAlign val="superscript"/>
        <sz val="10"/>
        <color theme="1"/>
        <rFont val="Arial"/>
        <family val="2"/>
      </rPr>
      <t xml:space="preserve">2 </t>
    </r>
    <r>
      <rPr>
        <sz val="11"/>
        <color theme="1"/>
        <rFont val="Calibri"/>
        <family val="2"/>
        <scheme val="minor"/>
      </rPr>
      <t>Al, Single Core, XLPE 33kV Cable Indoor</t>
    </r>
  </si>
  <si>
    <r>
      <t>Termination: 800mm</t>
    </r>
    <r>
      <rPr>
        <vertAlign val="superscript"/>
        <sz val="10"/>
        <color theme="1"/>
        <rFont val="Arial"/>
        <family val="2"/>
      </rPr>
      <t xml:space="preserve">2 </t>
    </r>
    <r>
      <rPr>
        <sz val="11"/>
        <color theme="1"/>
        <rFont val="Calibri"/>
        <family val="2"/>
        <scheme val="minor"/>
      </rPr>
      <t>Al, Single Core, XLPE 33kV Cable Outdoor</t>
    </r>
  </si>
  <si>
    <t>HV line costs</t>
  </si>
  <si>
    <t>Material rate @ Base date</t>
  </si>
  <si>
    <t>Labour rate @ Base date</t>
  </si>
  <si>
    <t>Cost per unit rounded to nearest 10 000 for values above R1 000 000, nearest R1 000 for values between R10 000 and R100 000, and to nearest R100 for values below R10 000</t>
  </si>
  <si>
    <t>Switching substation firm capacity (kVA)</t>
  </si>
  <si>
    <t>Total no. of switching substations</t>
  </si>
  <si>
    <t>Qty - Supply point 1</t>
  </si>
  <si>
    <t>Qty - Supply point 2</t>
  </si>
  <si>
    <t>Qty - Supply point 3</t>
  </si>
  <si>
    <t>Qty - Supply point 4</t>
  </si>
  <si>
    <t>Qty - Supply point 5</t>
  </si>
  <si>
    <t>No. of HV/MV transformers - installed at other substations</t>
  </si>
  <si>
    <t>No. of HV/MV Transformers - installed at Main supply points</t>
  </si>
  <si>
    <t>No. of HV Line Feeders</t>
  </si>
  <si>
    <t>No. of HV Cable Feeders</t>
  </si>
  <si>
    <t>HV/MV Transformer installed capacity (kVA) at main intake points</t>
  </si>
  <si>
    <t>HV/MV Transformer installed capacity (kVA) at other substations</t>
  </si>
  <si>
    <t>Primary substation Firm Capacity</t>
  </si>
  <si>
    <t>Notes</t>
  </si>
  <si>
    <t>supply point 3</t>
  </si>
  <si>
    <t>supply point 4</t>
  </si>
  <si>
    <t>supply point 5</t>
  </si>
  <si>
    <t>Supply point 1</t>
  </si>
  <si>
    <t>Supply point 2</t>
  </si>
  <si>
    <t>All supply points combined</t>
  </si>
  <si>
    <t>Below section is not used</t>
  </si>
  <si>
    <t>No. of MV cable feeders (11kV or 6.6kV)</t>
  </si>
  <si>
    <t>No. of MV cable feeders (33kV)</t>
  </si>
  <si>
    <t>No. of LV Domestic consumers</t>
  </si>
  <si>
    <t>No. of LV small commercial consumers</t>
  </si>
  <si>
    <t>Switching substation main incomer capacity</t>
  </si>
  <si>
    <t>No. of switching substation incomers per substation</t>
  </si>
  <si>
    <t>Switching substations</t>
  </si>
  <si>
    <t>Primary Substation Transformer Size</t>
  </si>
  <si>
    <t>Main substations</t>
  </si>
  <si>
    <t>MV Feeders</t>
  </si>
  <si>
    <t>HV Line Feeder length (km route)</t>
  </si>
  <si>
    <t>HV Cable Feeder lenth (km route)</t>
  </si>
  <si>
    <t>Average distance of MV cable between main substations and switching substations (km)</t>
  </si>
  <si>
    <t>Total Primary MV cable length (Main substations to switching substations) - km</t>
  </si>
  <si>
    <t>11kV primary feeder ring</t>
  </si>
  <si>
    <t>No. of connections per kiosk</t>
  </si>
  <si>
    <t>Spacing between kiosks</t>
  </si>
  <si>
    <t>No. of distribution / metering kiosks</t>
  </si>
  <si>
    <t>LV Feeders</t>
  </si>
  <si>
    <t>Highmast lights</t>
  </si>
  <si>
    <t>Public lighting</t>
  </si>
  <si>
    <t>Number of LV connections (non-bulk)</t>
  </si>
  <si>
    <t>Network level (HV/MV/LV)</t>
  </si>
  <si>
    <t>% Guestimate of network to customers</t>
  </si>
  <si>
    <t>Secondary MV voltage: 22 , 6.6 or 11 - (kV)</t>
  </si>
  <si>
    <t>33kV present? (Yes/No)</t>
  </si>
  <si>
    <t>No. of Primary substations, i.e. HV/MV (if known)</t>
  </si>
  <si>
    <t>No. of 33kV/MV substations</t>
  </si>
  <si>
    <t>Total no. of Main substations</t>
  </si>
  <si>
    <t>Main intermediate MV/MV substations (e.g. 33/11kV)</t>
  </si>
  <si>
    <t>Total number of MV/MV transformers</t>
  </si>
  <si>
    <t>Total No. of MV/MV substations (e.g. 33/11kV)</t>
  </si>
  <si>
    <t>MV/MV (e.g. 33/11kV) Substation transformer size (kVA)</t>
  </si>
  <si>
    <t>MV/MV (e.g. 33/11kV) Substation firm capacity</t>
  </si>
  <si>
    <t>Average 33kV main feeder cable length between substations (km)</t>
  </si>
  <si>
    <t>Total 33kV feeder length</t>
  </si>
  <si>
    <t>33kV cables</t>
  </si>
  <si>
    <t>Total estimated Replacement Asset Value</t>
  </si>
  <si>
    <t>HV cable feeder length</t>
  </si>
  <si>
    <t>HV line feeder length</t>
  </si>
  <si>
    <t>This method uses an estimation process of asset quantities</t>
  </si>
  <si>
    <t>Network quantities have been estimated from the NMD</t>
  </si>
  <si>
    <t>and from user input values</t>
  </si>
  <si>
    <t>PROXY ASSET REGISTER - REPLACEMENT VALUE ESTIMATION ONLY</t>
  </si>
  <si>
    <t>Total Utilized Values</t>
  </si>
  <si>
    <t>Utilized value</t>
  </si>
  <si>
    <t>CALCULATION BASED ON NOTIFIED MAXIMUM DEMAND</t>
  </si>
  <si>
    <t>HIGH LEVEL ASSET QUANTITY CALCULATION</t>
  </si>
  <si>
    <t>HV Incomer bays - Outdoor</t>
  </si>
  <si>
    <t>HV outdoor Busbar,bussectionalizers &amp; related shared infrastructure</t>
  </si>
  <si>
    <t>HV Outdoor Feeder breakers</t>
  </si>
  <si>
    <t>HV/33kV transformers</t>
  </si>
  <si>
    <t>HV/11kV transformers</t>
  </si>
  <si>
    <t>11kV/400V minisub</t>
  </si>
  <si>
    <t>4-core LV feeder</t>
  </si>
  <si>
    <t>11kV Overhead line</t>
  </si>
  <si>
    <t>Note: This calculation is not distinguishing between overhead and underground infrastructure.  The distinguishing of it is done on the next sheet utilizing the estimated % split between overhead and underground infrastructure</t>
  </si>
  <si>
    <t>LV Underground (km)</t>
  </si>
  <si>
    <t>LV Overhead (km)</t>
  </si>
  <si>
    <t>MV Underground (km)</t>
  </si>
  <si>
    <t>MV Overhead (km)</t>
  </si>
  <si>
    <t>Total 33kV feeders</t>
  </si>
  <si>
    <t>MV 33kV Underground (km)</t>
  </si>
  <si>
    <t>MV 33kV Overhead (km)</t>
  </si>
  <si>
    <t>Minisubs</t>
  </si>
  <si>
    <t>Pole mounted transformers</t>
  </si>
  <si>
    <t>Total number of HV/MV transformers (not 33kV)</t>
  </si>
  <si>
    <t>Total number of HV/33kV transformers</t>
  </si>
  <si>
    <t>Stats SA P0151 Base date Dec 2016 = 100</t>
  </si>
  <si>
    <t>Year-on-Year increase</t>
  </si>
  <si>
    <t>LV overhead line</t>
  </si>
  <si>
    <t>11kV secondary feeder ring</t>
  </si>
  <si>
    <t>Cells not filled: formulas and information the user should not edit</t>
  </si>
  <si>
    <t>Cells where input can be provided</t>
  </si>
  <si>
    <t>Colour coding</t>
  </si>
  <si>
    <t>Contents</t>
  </si>
  <si>
    <t>Generic Diagram</t>
  </si>
  <si>
    <t>1. Inputs</t>
  </si>
  <si>
    <t>2. Asset qty Calc</t>
  </si>
  <si>
    <t>3. Asset Cost Calc</t>
  </si>
  <si>
    <t>4. Escalation</t>
  </si>
  <si>
    <t>Detailed costing sheet Substations</t>
  </si>
  <si>
    <t>Detailed costing sheet Retic</t>
  </si>
  <si>
    <t>Detailed costing sheet OHL</t>
  </si>
  <si>
    <t>Simplified network diagram outlining HV/MV/LV split principles</t>
  </si>
  <si>
    <t>Main user inputs</t>
  </si>
  <si>
    <t>Refined user inputs and fine tuning</t>
  </si>
  <si>
    <t>Calculation of asset replacement cost and HV?MV?LV split</t>
  </si>
  <si>
    <t>Used for escalation parameter inputs</t>
  </si>
  <si>
    <t>Detailed bills of quantities sheet for substations and "per bay" calculations</t>
  </si>
  <si>
    <t>Detailed bills of quantities sheet for underground reticulation "per unit" calculations</t>
  </si>
  <si>
    <t>Detailed bills of quantities sheet for underground OHL "per unit" calculations</t>
  </si>
  <si>
    <t>Proxy Asset Replacement Cost tool</t>
  </si>
  <si>
    <t>Cells coloured light yellow: Assumptions.  Can edit if experienced, otherwise leave as is and enter Actual values in green cells</t>
  </si>
  <si>
    <t>6MVA when using 185PILC(Cu) or 120XLPE(Cu)</t>
  </si>
  <si>
    <t>240PILC(Cu)</t>
  </si>
  <si>
    <t>RE-BASING BLOCK  —  converts Dec 2023 = 100 indices onto this sheet's Dec 2016 = 100 base</t>
  </si>
  <si>
    <t>The series has been re-based TWICE since this sheet was built: Dec 2016 = 100  -&gt;  Dec 2021 = 100  -&gt;  Dec 2023 = 100. No single release spans 2021 to 2026, so we chain two links.</t>
  </si>
  <si>
    <t xml:space="preserve">     FACTOR 1</t>
  </si>
  <si>
    <t>STEP 2     bridge  Dec 2021 = 100   to   Dec 2023 = 100</t>
  </si>
  <si>
    <t xml:space="preserve">     Dec 2023 index on Dec 2023 = 100 base            = 100 by definition</t>
  </si>
  <si>
    <t xml:space="preserve">     FACTOR 2</t>
  </si>
  <si>
    <t>COMBINED FACTOR   =   Factor 1  x  Factor 2</t>
  </si>
  <si>
    <t>JUNE 2026 index on NEW Dec 2023 = 100 base           (from your P0151 June 2026 download)</t>
  </si>
  <si>
    <t>JUNE 2026 re-based to Dec 2016 = 100                 --&gt;  flows into row 24 automatically</t>
  </si>
  <si>
    <t>Rows 16 to 23 (red outline) stay on the OLD Dec 2016 base and must never be edited - 268 rate formulas look them up as base indices.</t>
  </si>
  <si>
    <t>REFERENCE  —  2021 indices on the Dec 2021 = 100 base</t>
  </si>
  <si>
    <t>Source: Stats SA, Construction Materials Price Indices, February 2022 (P0151.1), Table 1 — CPAP work group indices, Base: Dec 2021=100</t>
  </si>
  <si>
    <t>Month</t>
  </si>
  <si>
    <t>STEP 1     bridge  Dec 2016 = 100   to   Dec 2021 = 100     (via a month published on BOTH bases)</t>
  </si>
  <si>
    <t xml:space="preserve">     Overlap month used   — Jun-21 chosen to match the sheet's June convention     &gt;&gt;&gt;</t>
  </si>
  <si>
    <t xml:space="preserve">     Its index on OLD Dec 2016 = 100 base          &lt;-- read from rows 16-23 of this sheet</t>
  </si>
  <si>
    <t xml:space="preserve">     Its index on Dec 2021 = 100 base                &lt;-- read from the reference table at row 61</t>
  </si>
  <si>
    <t>Rates in SUPPLY RATE / INSTALL RATE are at the base date below. Escalation to the latest index is applied inside the TOTAL AMOUNT column.</t>
  </si>
  <si>
    <t>ESCALATION APPLIED          base date  &gt;&gt;&gt;</t>
  </si>
  <si>
    <t>&lt;&lt; escalators</t>
  </si>
  <si>
    <t>Version: 0.3</t>
  </si>
  <si>
    <t>INPUT ASSUMPTIONS   —   referenced by the 'Cost per unit' column above</t>
  </si>
  <si>
    <t>HV cable feeder — base rate per km, in Dec 2016 money</t>
  </si>
  <si>
    <t>Escalated to Jun-26 via WG 162. Base index Dec 2016 = 100.</t>
  </si>
  <si>
    <t>33kV OHL — uplift factor over the 11kV OHL rate</t>
  </si>
  <si>
    <t>Applied to 'Detail costing OHL'!H201 (already escalated).</t>
  </si>
  <si>
    <t>HOW TO UPDATE THIS SHEET NEXT YEAR</t>
  </si>
  <si>
    <t>1.   Download the Stats SA P0151 release for JUNE of the year you are valuing.  Table 1 carries the CPAP work group indices.</t>
  </si>
  <si>
    <t>2.   Overwrite E49 with WG 160 (Electrical installations = LABOUR) and F49 with WG 162 (Electrical reticulation = MATERIAL) for that June.</t>
  </si>
  <si>
    <t>3.   Check the base printed above Table 1.  If it still reads 'Base: Dec 2023=100', you are finished - row 24, row 28 and every rate in the workbook update themselves.</t>
  </si>
  <si>
    <t>4.   If Stats SA has re-based again, add a further link below Step 2 using the same pattern: a re-base month equals 100 on its own base, so the factor is simply (index on the previous base) / 100.</t>
  </si>
  <si>
    <t>Sources:  Factor 1 from the P0151 February 2022 release.  Factor 2 from the P0151 December 2023 release.  June 2026 figures from the P0151 June 2026 release.  Each cell carries a full citation on hover.</t>
  </si>
  <si>
    <t xml:space="preserve">     Dec 2023 index on Dec 2021 = 100 base            (source: P0151 December 2023 release)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</si>
</sst>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44" formatCode="_-&quot;R&quot;* #,##0.00_-;\-&quot;R&quot;* #,##0.00_-;_-&quot;R&quot;* &quot;-&quot;??_-;_-@_-"/>
    <numFmt numFmtId="43" formatCode="_-* #,##0.00_-;\-* #,##0.00_-;_-* &quot;-&quot;??_-;_-@_-"/>
    <numFmt numFmtId="164" formatCode="0.0"/>
    <numFmt numFmtId="165" formatCode="_ * #,##0.00_ ;_ * \-#,##0.00_ ;_ * &quot;-&quot;??_ ;_ @_ "/>
    <numFmt numFmtId="166" formatCode="_-[$R-1C09]* #,##0.00_-;\-[$R-1C09]* #,##0.00_-;_-[$R-1C09]* &quot;-&quot;??_-;_-@_-"/>
    <numFmt numFmtId="167" formatCode="_-* #,##0.0_-;\-* #,##0.0_-;_-* &quot;-&quot;??_-;_-@_-"/>
    <numFmt numFmtId="168" formatCode="_-* #,##0_-;\-* #,##0_-;_-* &quot;-&quot;??_-;_-@_-"/>
    <numFmt numFmtId="169" formatCode="&quot;R&quot;\ #,##0.00;&quot;R&quot;\ \-#,##0.00"/>
    <numFmt numFmtId="170" formatCode="_ [$R-1C09]\ * #,##0.00_ ;_ [$R-1C09]\ * \-#,##0.00_ ;_ [$R-1C09]\ * &quot;-&quot;??_ ;_ @_ "/>
    <numFmt numFmtId="171" formatCode="_(* #,##0.00_);_(* \(#,##0.00\);_(* &quot;-&quot;??_);_(@_)"/>
    <numFmt numFmtId="172" formatCode="0.0%"/>
    <numFmt numFmtId="173" formatCode="_ [$R-1C09]\ * #,##0_ ;_ [$R-1C09]\ * \-#,##0_ ;_ [$R-1C09]\ * &quot;-&quot;??_ ;_ @_ "/>
    <numFmt numFmtId="174" formatCode="_-[$R-1C09]* #,##0_-;\-[$R-1C09]* #,##0_-;_-[$R-1C09]* &quot;-&quot;??_-;_-@_-"/>
    <numFmt numFmtId="175" formatCode="0.0000"/>
  </numFmts>
  <fonts count="45">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0"/>
      <name val="Arial"/>
      <family val="2"/>
    </font>
    <font>
      <sz val="10"/>
      <color indexed="8"/>
      <name val="Arial"/>
      <family val="2"/>
    </font>
    <font>
      <b/>
      <u/>
      <sz val="8"/>
      <color indexed="81"/>
      <name val="Tahoma"/>
      <family val="2"/>
    </font>
    <font>
      <b/>
      <sz val="8"/>
      <color indexed="81"/>
      <name val="Tahoma"/>
      <family val="2"/>
    </font>
    <font>
      <sz val="8"/>
      <color indexed="81"/>
      <name val="Tahoma"/>
      <family val="2"/>
    </font>
    <font>
      <b/>
      <sz val="18"/>
      <color theme="1"/>
      <name val="Calibri"/>
      <family val="2"/>
      <scheme val="minor"/>
    </font>
    <font>
      <sz val="10"/>
      <color theme="1"/>
      <name val="Arial"/>
      <family val="2"/>
    </font>
    <font>
      <b/>
      <u/>
      <sz val="18"/>
      <color theme="1"/>
      <name val="Calibri"/>
      <family val="2"/>
      <scheme val="minor"/>
    </font>
    <font>
      <b/>
      <sz val="10"/>
      <color theme="1"/>
      <name val="Arial"/>
      <family val="2"/>
    </font>
    <font>
      <sz val="10"/>
      <color rgb="FFFF0000"/>
      <name val="Arial"/>
      <family val="2"/>
    </font>
    <font>
      <vertAlign val="superscript"/>
      <sz val="10"/>
      <color theme="1"/>
      <name val="Arial"/>
      <family val="2"/>
    </font>
    <font>
      <b/>
      <u/>
      <sz val="10"/>
      <color theme="1"/>
      <name val="Arial"/>
      <family val="2"/>
    </font>
    <font>
      <b/>
      <sz val="11"/>
      <color rgb="FFFFFFFF"/>
      <name val="Calibri"/>
      <family val="2"/>
      <scheme val="minor"/>
    </font>
    <font>
      <b/>
      <vertAlign val="superscript"/>
      <sz val="10"/>
      <color theme="1"/>
      <name val="Arial"/>
      <family val="2"/>
    </font>
    <font>
      <b/>
      <i/>
      <sz val="11"/>
      <color theme="1"/>
      <name val="Calibri"/>
      <family val="2"/>
      <scheme val="minor"/>
    </font>
    <font>
      <b/>
      <sz val="18"/>
      <color rgb="FFFF0000"/>
      <name val="Calibri"/>
      <family val="2"/>
      <scheme val="minor"/>
    </font>
    <font>
      <sz val="12"/>
      <color theme="1"/>
      <name val="Calibri"/>
      <family val="2"/>
      <scheme val="minor"/>
    </font>
    <font>
      <b/>
      <sz val="11"/>
      <color rgb="FFFF0000"/>
      <name val="Calibri"/>
      <family val="2"/>
      <scheme val="minor"/>
    </font>
    <font>
      <b/>
      <vertAlign val="superscript"/>
      <sz val="11"/>
      <color rgb="FFFFFFFF"/>
      <name val="Calibri"/>
      <family val="2"/>
      <scheme val="minor"/>
    </font>
    <font>
      <b/>
      <u/>
      <sz val="11"/>
      <color theme="1"/>
      <name val="Calibri"/>
      <family val="2"/>
      <scheme val="minor"/>
    </font>
    <font>
      <b/>
      <sz val="10"/>
      <color indexed="8"/>
      <name val="Arial"/>
      <family val="2"/>
    </font>
    <font>
      <b/>
      <sz val="10"/>
      <name val="Arial"/>
      <family val="2"/>
    </font>
    <font>
      <sz val="11"/>
      <color rgb="FFFF0000"/>
      <name val="Calibri"/>
      <family val="2"/>
      <scheme val="minor"/>
    </font>
    <font>
      <sz val="8"/>
      <name val="Calibri"/>
      <family val="2"/>
      <scheme val="minor"/>
    </font>
    <font>
      <b/>
      <u/>
      <sz val="11"/>
      <color rgb="FFFFFFFF"/>
      <name val="Calibri"/>
      <family val="2"/>
      <scheme val="minor"/>
    </font>
    <font>
      <sz val="11"/>
      <color theme="0" tint="-0.249977111117893"/>
      <name val="Calibri"/>
      <family val="2"/>
      <scheme val="minor"/>
    </font>
    <font>
      <sz val="9"/>
      <color indexed="81"/>
      <name val="Tahoma"/>
      <charset val="1"/>
    </font>
    <font>
      <b/>
      <sz val="9"/>
      <color indexed="81"/>
      <name val="Tahoma"/>
      <charset val="1"/>
    </font>
    <font>
      <sz val="11"/>
      <color rgb="FF0000FF"/>
      <name val="Calibri"/>
      <family val="2"/>
      <scheme val="minor"/>
    </font>
    <font>
      <b/>
      <sz val="12"/>
      <color theme="1"/>
      <name val="Calibri"/>
      <family val="2"/>
      <scheme val="minor"/>
    </font>
    <font>
      <sz val="11"/>
      <color rgb="FF000000"/>
      <name val="Calibri"/>
      <family val="2"/>
      <scheme val="minor"/>
    </font>
    <font>
      <b/>
      <sz val="11"/>
      <color rgb="FF0000FF"/>
      <name val="Calibri"/>
      <family val="2"/>
      <scheme val="minor"/>
    </font>
    <font>
      <i/>
      <sz val="11"/>
      <color theme="1"/>
      <name val="Calibri"/>
      <family val="2"/>
      <scheme val="minor"/>
    </font>
    <font>
      <i/>
      <sz val="10"/>
      <color rgb="FF808080"/>
      <name val="Arial"/>
      <family val="2"/>
    </font>
    <font>
      <b/>
      <sz val="10"/>
      <color rgb="FFFFFFFF"/>
      <name val="Arial"/>
      <family val="2"/>
    </font>
    <font>
      <b/>
      <sz val="10"/>
      <color rgb="FF0000FF"/>
      <name val="Arial"/>
      <family val="2"/>
    </font>
    <font>
      <b/>
      <sz val="10"/>
      <color rgb="FFFFFFFF"/>
      <name val="Arial"/>
    </font>
    <font>
      <sz val="10"/>
      <color theme="1"/>
      <name val="Arial"/>
    </font>
    <font>
      <sz val="10"/>
      <color rgb="FF0000FF"/>
      <name val="Arial"/>
    </font>
    <font>
      <i/>
      <sz val="9"/>
      <color theme="1"/>
      <name val="Arial"/>
    </font>
  </fonts>
  <fills count="20">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rgb="FF00B0F0"/>
        <bgColor indexed="64"/>
      </patternFill>
    </fill>
    <fill>
      <patternFill patternType="solid">
        <fgColor rgb="FF086788"/>
        <bgColor indexed="64"/>
      </patternFill>
    </fill>
    <fill>
      <patternFill patternType="solid">
        <fgColor theme="7" tint="0.79998168889431442"/>
        <bgColor indexed="64"/>
      </patternFill>
    </fill>
    <fill>
      <patternFill patternType="solid">
        <fgColor rgb="FF00B050"/>
        <bgColor indexed="64"/>
      </patternFill>
    </fill>
    <fill>
      <patternFill patternType="solid">
        <fgColor rgb="FFFF0000"/>
        <bgColor indexed="64"/>
      </patternFill>
    </fill>
    <fill>
      <patternFill patternType="solid">
        <fgColor theme="7" tint="0.59999389629810485"/>
        <bgColor indexed="64"/>
      </patternFill>
    </fill>
    <fill>
      <patternFill patternType="solid">
        <fgColor theme="1"/>
        <bgColor indexed="64"/>
      </patternFill>
    </fill>
    <fill>
      <patternFill patternType="solid">
        <fgColor theme="1" tint="0.499984740745262"/>
        <bgColor indexed="64"/>
      </patternFill>
    </fill>
    <fill>
      <patternFill patternType="solid">
        <fgColor rgb="FF002060"/>
        <bgColor indexed="64"/>
      </patternFill>
    </fill>
    <fill>
      <patternFill patternType="solid">
        <fgColor theme="8" tint="0.79998168889431442"/>
        <bgColor indexed="64"/>
      </patternFill>
    </fill>
    <fill>
      <patternFill patternType="solid">
        <fgColor rgb="FFE2EFDA"/>
        <bgColor indexed="64"/>
      </patternFill>
    </fill>
    <fill>
      <patternFill patternType="solid">
        <fgColor rgb="FFD9D9D9"/>
        <bgColor indexed="64"/>
      </patternFill>
    </fill>
    <fill>
      <patternFill patternType="solid">
        <fgColor rgb="FFC00000"/>
        <bgColor indexed="64"/>
      </patternFill>
    </fill>
    <fill>
      <patternFill patternType="solid">
        <fgColor rgb="FF404040"/>
        <bgColor indexed="64"/>
      </patternFill>
    </fill>
    <fill>
      <patternFill patternType="solid">
        <fgColor rgb="FFFFF2CC"/>
        <bgColor indexed="64"/>
      </patternFill>
    </fill>
    <fill>
      <patternFill patternType="solid">
        <fgColor rgb="FFFFFFFF"/>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auto="1"/>
      </right>
      <top style="thin">
        <color indexed="64"/>
      </top>
      <bottom style="thin">
        <color indexed="64"/>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medium">
        <color indexed="64"/>
      </left>
      <right style="thin">
        <color indexed="64"/>
      </right>
      <top/>
      <bottom style="hair">
        <color indexed="64"/>
      </bottom>
      <diagonal/>
    </border>
    <border>
      <left style="medium">
        <color indexed="64"/>
      </left>
      <right style="medium">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medium">
        <color indexed="64"/>
      </left>
      <right style="thin">
        <color indexed="64"/>
      </right>
      <top style="hair">
        <color indexed="64"/>
      </top>
      <bottom/>
      <diagonal/>
    </border>
    <border>
      <left style="medium">
        <color indexed="64"/>
      </left>
      <right style="medium">
        <color indexed="64"/>
      </right>
      <top style="hair">
        <color indexed="64"/>
      </top>
      <bottom/>
      <diagonal/>
    </border>
    <border>
      <left/>
      <right/>
      <top style="medium">
        <color indexed="64"/>
      </top>
      <bottom style="medium">
        <color indexed="64"/>
      </bottom>
      <diagonal/>
    </border>
    <border>
      <left/>
      <right/>
      <top style="hair">
        <color indexed="64"/>
      </top>
      <bottom style="medium">
        <color indexed="64"/>
      </bottom>
      <diagonal/>
    </border>
    <border>
      <left style="medium">
        <color indexed="64"/>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top/>
      <bottom style="medium">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ck">
        <color auto="1"/>
      </left>
      <right/>
      <top/>
      <bottom style="thick">
        <color auto="1"/>
      </bottom>
      <diagonal/>
    </border>
    <border>
      <left style="thin">
        <color indexed="64"/>
      </left>
      <right style="thin">
        <color indexed="64"/>
      </right>
      <top/>
      <bottom style="thick">
        <color auto="1"/>
      </bottom>
      <diagonal/>
    </border>
    <border>
      <left style="thin">
        <color indexed="64"/>
      </left>
      <right style="thick">
        <color indexed="64"/>
      </right>
      <top/>
      <bottom style="thick">
        <color auto="1"/>
      </bottom>
      <diagonal/>
    </border>
    <border>
      <left style="thick">
        <color rgb="FFFF0000"/>
      </left>
      <right/>
      <top/>
      <bottom/>
      <diagonal/>
    </border>
    <border>
      <left style="thin">
        <color indexed="64"/>
      </left>
      <right style="thick">
        <color rgb="FFFF0000"/>
      </right>
      <top/>
      <bottom/>
      <diagonal/>
    </border>
    <border>
      <left style="thick">
        <color rgb="FFFF0000"/>
      </left>
      <right/>
      <top style="thick">
        <color rgb="FFFF0000"/>
      </top>
      <bottom/>
      <diagonal/>
    </border>
    <border>
      <left style="thin">
        <color indexed="64"/>
      </left>
      <right style="thin">
        <color indexed="64"/>
      </right>
      <top style="thick">
        <color rgb="FFFF0000"/>
      </top>
      <bottom/>
      <diagonal/>
    </border>
    <border>
      <left style="thin">
        <color indexed="64"/>
      </left>
      <right style="thick">
        <color rgb="FFFF0000"/>
      </right>
      <top style="thick">
        <color rgb="FFFF0000"/>
      </top>
      <bottom/>
      <diagonal/>
    </border>
    <border>
      <left style="thick">
        <color rgb="FFFF0000"/>
      </left>
      <right/>
      <top/>
      <bottom style="thick">
        <color rgb="FFFF0000"/>
      </bottom>
      <diagonal/>
    </border>
    <border>
      <left style="thin">
        <color indexed="64"/>
      </left>
      <right style="thin">
        <color indexed="64"/>
      </right>
      <top/>
      <bottom style="thick">
        <color rgb="FFFF0000"/>
      </bottom>
      <diagonal/>
    </border>
    <border>
      <left style="thin">
        <color indexed="64"/>
      </left>
      <right style="thick">
        <color rgb="FFFF0000"/>
      </right>
      <top/>
      <bottom style="thick">
        <color rgb="FFFF0000"/>
      </bottom>
      <diagonal/>
    </border>
  </borders>
  <cellStyleXfs count="12">
    <xf numFmtId="0" fontId="0" fillId="0" borderId="0"/>
    <xf numFmtId="43" fontId="1" fillId="0" borderId="0" applyFont="0" applyFill="0" applyBorder="0" applyAlignment="0" applyProtection="0"/>
    <xf numFmtId="9" fontId="1" fillId="0" borderId="0" applyFont="0" applyFill="0" applyBorder="0" applyAlignment="0" applyProtection="0"/>
    <xf numFmtId="165" fontId="5" fillId="0" borderId="0" applyFont="0" applyFill="0" applyBorder="0" applyAlignment="0" applyProtection="0"/>
    <xf numFmtId="0" fontId="1" fillId="0" borderId="0"/>
    <xf numFmtId="0" fontId="11" fillId="0" borderId="0"/>
    <xf numFmtId="9" fontId="11" fillId="0" borderId="0" applyFont="0" applyFill="0" applyBorder="0" applyAlignment="0" applyProtection="0"/>
    <xf numFmtId="171" fontId="1" fillId="0" borderId="0" applyFont="0" applyFill="0" applyBorder="0" applyAlignment="0" applyProtection="0"/>
    <xf numFmtId="9" fontId="6" fillId="0" borderId="0" applyFont="0" applyFill="0" applyBorder="0" applyAlignment="0" applyProtection="0"/>
    <xf numFmtId="0" fontId="21" fillId="0" borderId="0"/>
    <xf numFmtId="9" fontId="21" fillId="0" borderId="0" applyFont="0" applyFill="0" applyBorder="0" applyAlignment="0" applyProtection="0"/>
    <xf numFmtId="44" fontId="1" fillId="0" borderId="0" applyFont="0" applyFill="0" applyBorder="0" applyAlignment="0" applyProtection="0"/>
  </cellStyleXfs>
  <cellXfs count="325">
    <xf numFmtId="0" fontId="0" fillId="0" borderId="0" xfId="0"/>
    <xf numFmtId="0" fontId="0" fillId="0" borderId="1" xfId="0" applyBorder="1" applyAlignment="1">
      <alignment vertical="top"/>
    </xf>
    <xf numFmtId="0" fontId="0" fillId="2" borderId="1" xfId="0" applyFill="1" applyBorder="1" applyAlignment="1">
      <alignment vertical="top"/>
    </xf>
    <xf numFmtId="49" fontId="6" fillId="2" borderId="1" xfId="3" applyNumberFormat="1" applyFont="1" applyFill="1" applyBorder="1" applyAlignment="1">
      <alignment vertical="top"/>
    </xf>
    <xf numFmtId="3" fontId="6" fillId="2" borderId="1" xfId="3" applyNumberFormat="1" applyFont="1" applyFill="1" applyBorder="1" applyAlignment="1">
      <alignment horizontal="right" vertical="top"/>
    </xf>
    <xf numFmtId="3" fontId="6" fillId="2" borderId="1" xfId="3" applyNumberFormat="1" applyFont="1" applyFill="1" applyBorder="1" applyAlignment="1">
      <alignment vertical="top" wrapText="1"/>
    </xf>
    <xf numFmtId="3" fontId="6" fillId="2" borderId="1" xfId="3" applyNumberFormat="1" applyFont="1" applyFill="1" applyBorder="1" applyAlignment="1" applyProtection="1">
      <alignment horizontal="left" vertical="top" wrapText="1"/>
    </xf>
    <xf numFmtId="4" fontId="0" fillId="2" borderId="1" xfId="0" applyNumberFormat="1" applyFill="1" applyBorder="1" applyAlignment="1">
      <alignment vertical="top"/>
    </xf>
    <xf numFmtId="49" fontId="6" fillId="2" borderId="1" xfId="3" applyNumberFormat="1" applyFont="1" applyFill="1" applyBorder="1" applyAlignment="1" applyProtection="1">
      <alignment vertical="top"/>
    </xf>
    <xf numFmtId="0" fontId="0" fillId="0" borderId="0" xfId="0" applyAlignment="1">
      <alignment vertical="top"/>
    </xf>
    <xf numFmtId="168" fontId="0" fillId="2" borderId="1" xfId="0" applyNumberFormat="1" applyFill="1" applyBorder="1" applyAlignment="1">
      <alignment vertical="top"/>
    </xf>
    <xf numFmtId="168" fontId="0" fillId="2" borderId="1" xfId="1" applyNumberFormat="1" applyFont="1" applyFill="1" applyBorder="1" applyAlignment="1">
      <alignment vertical="top"/>
    </xf>
    <xf numFmtId="0" fontId="0" fillId="2" borderId="1" xfId="0" applyFill="1" applyBorder="1" applyAlignment="1">
      <alignment horizontal="center" vertical="top"/>
    </xf>
    <xf numFmtId="9" fontId="0" fillId="2" borderId="1" xfId="2" applyFont="1" applyFill="1" applyBorder="1" applyAlignment="1">
      <alignment horizontal="center" vertical="top"/>
    </xf>
    <xf numFmtId="0" fontId="10" fillId="0" borderId="0" xfId="4" applyFont="1" applyAlignment="1">
      <alignment vertical="top"/>
    </xf>
    <xf numFmtId="0" fontId="11" fillId="0" borderId="0" xfId="5"/>
    <xf numFmtId="0" fontId="12" fillId="0" borderId="0" xfId="4" applyFont="1" applyAlignment="1">
      <alignment vertical="top"/>
    </xf>
    <xf numFmtId="17" fontId="11" fillId="0" borderId="0" xfId="5" applyNumberFormat="1"/>
    <xf numFmtId="0" fontId="13" fillId="0" borderId="1" xfId="5" applyFont="1" applyBorder="1" applyAlignment="1">
      <alignment horizontal="center"/>
    </xf>
    <xf numFmtId="0" fontId="13" fillId="0" borderId="1" xfId="5" applyFont="1" applyBorder="1" applyAlignment="1">
      <alignment horizontal="justify" vertical="top" wrapText="1"/>
    </xf>
    <xf numFmtId="0" fontId="13" fillId="0" borderId="1" xfId="5" applyFont="1" applyBorder="1" applyAlignment="1">
      <alignment horizontal="center" vertical="top" wrapText="1"/>
    </xf>
    <xf numFmtId="0" fontId="13" fillId="0" borderId="0" xfId="5" applyFont="1"/>
    <xf numFmtId="0" fontId="11" fillId="0" borderId="1" xfId="5" applyBorder="1" applyAlignment="1">
      <alignment horizontal="justify" vertical="top" wrapText="1"/>
    </xf>
    <xf numFmtId="0" fontId="11" fillId="0" borderId="1" xfId="5" applyBorder="1" applyAlignment="1">
      <alignment horizontal="center" vertical="top" wrapText="1"/>
    </xf>
    <xf numFmtId="0" fontId="11" fillId="3" borderId="15" xfId="5" applyFill="1" applyBorder="1"/>
    <xf numFmtId="0" fontId="11" fillId="3" borderId="0" xfId="5" applyFill="1"/>
    <xf numFmtId="0" fontId="16" fillId="3" borderId="14" xfId="5" applyFont="1" applyFill="1" applyBorder="1"/>
    <xf numFmtId="0" fontId="11" fillId="3" borderId="17" xfId="5" applyFill="1" applyBorder="1"/>
    <xf numFmtId="0" fontId="13" fillId="0" borderId="0" xfId="5" applyFont="1" applyAlignment="1">
      <alignment horizontal="center" vertical="top" wrapText="1"/>
    </xf>
    <xf numFmtId="10" fontId="0" fillId="0" borderId="0" xfId="8" applyNumberFormat="1" applyFont="1" applyFill="1" applyAlignment="1">
      <alignment horizontal="center" vertical="top" wrapText="1"/>
    </xf>
    <xf numFmtId="0" fontId="11" fillId="0" borderId="0" xfId="5" applyAlignment="1">
      <alignment horizontal="center" vertical="top" wrapText="1"/>
    </xf>
    <xf numFmtId="170" fontId="11" fillId="0" borderId="0" xfId="5" applyNumberFormat="1" applyAlignment="1">
      <alignment horizontal="center" vertical="top" wrapText="1"/>
    </xf>
    <xf numFmtId="0" fontId="11" fillId="0" borderId="0" xfId="5" applyAlignment="1">
      <alignment vertical="top"/>
    </xf>
    <xf numFmtId="0" fontId="13" fillId="0" borderId="0" xfId="5" applyFont="1" applyAlignment="1">
      <alignment horizontal="center" vertical="top"/>
    </xf>
    <xf numFmtId="0" fontId="10" fillId="0" borderId="0" xfId="4" applyFont="1" applyAlignment="1">
      <alignment horizontal="left" vertical="top"/>
    </xf>
    <xf numFmtId="0" fontId="13" fillId="0" borderId="0" xfId="5" applyFont="1" applyAlignment="1">
      <alignment vertical="top"/>
    </xf>
    <xf numFmtId="0" fontId="3" fillId="0" borderId="1" xfId="4" applyFont="1" applyBorder="1" applyAlignment="1">
      <alignment vertical="top"/>
    </xf>
    <xf numFmtId="0" fontId="13" fillId="0" borderId="1" xfId="5" applyFont="1" applyBorder="1" applyAlignment="1">
      <alignment horizontal="center" vertical="top"/>
    </xf>
    <xf numFmtId="10" fontId="13" fillId="0" borderId="1" xfId="8" applyNumberFormat="1" applyFont="1" applyFill="1" applyBorder="1" applyAlignment="1">
      <alignment horizontal="center" vertical="top" wrapText="1"/>
    </xf>
    <xf numFmtId="170" fontId="13" fillId="0" borderId="1" xfId="5" applyNumberFormat="1" applyFont="1" applyBorder="1" applyAlignment="1">
      <alignment horizontal="center" vertical="top" wrapText="1"/>
    </xf>
    <xf numFmtId="0" fontId="13" fillId="0" borderId="8" xfId="5" applyFont="1" applyBorder="1" applyAlignment="1">
      <alignment vertical="top"/>
    </xf>
    <xf numFmtId="0" fontId="13" fillId="0" borderId="9" xfId="5" applyFont="1" applyBorder="1" applyAlignment="1">
      <alignment vertical="top"/>
    </xf>
    <xf numFmtId="0" fontId="13" fillId="0" borderId="10" xfId="5" applyFont="1" applyBorder="1" applyAlignment="1">
      <alignment vertical="top"/>
    </xf>
    <xf numFmtId="0" fontId="13" fillId="0" borderId="1" xfId="5" applyFont="1" applyBorder="1" applyAlignment="1">
      <alignment horizontal="left" vertical="top" wrapText="1"/>
    </xf>
    <xf numFmtId="169" fontId="11" fillId="0" borderId="1" xfId="5" applyNumberFormat="1" applyBorder="1" applyAlignment="1">
      <alignment vertical="top" wrapText="1"/>
    </xf>
    <xf numFmtId="165" fontId="11" fillId="0" borderId="1" xfId="5" applyNumberFormat="1" applyBorder="1" applyAlignment="1">
      <alignment horizontal="center" vertical="top" wrapText="1"/>
    </xf>
    <xf numFmtId="170" fontId="11" fillId="0" borderId="1" xfId="5" applyNumberFormat="1" applyBorder="1" applyAlignment="1">
      <alignment horizontal="center" vertical="top" wrapText="1"/>
    </xf>
    <xf numFmtId="172" fontId="0" fillId="0" borderId="1" xfId="8" applyNumberFormat="1" applyFont="1" applyFill="1" applyBorder="1" applyAlignment="1">
      <alignment horizontal="center" vertical="top" wrapText="1"/>
    </xf>
    <xf numFmtId="169" fontId="11" fillId="0" borderId="1" xfId="5" applyNumberFormat="1" applyBorder="1" applyAlignment="1">
      <alignment horizontal="center" vertical="top" wrapText="1"/>
    </xf>
    <xf numFmtId="0" fontId="11" fillId="0" borderId="1" xfId="5" applyBorder="1" applyAlignment="1">
      <alignment horizontal="center" vertical="top"/>
    </xf>
    <xf numFmtId="9" fontId="11" fillId="0" borderId="1" xfId="5" applyNumberFormat="1" applyBorder="1" applyAlignment="1">
      <alignment horizontal="center" vertical="top" wrapText="1"/>
    </xf>
    <xf numFmtId="2" fontId="11" fillId="0" borderId="1" xfId="5" applyNumberFormat="1" applyBorder="1" applyAlignment="1">
      <alignment horizontal="center" vertical="top" wrapText="1"/>
    </xf>
    <xf numFmtId="170" fontId="11" fillId="0" borderId="1" xfId="5" applyNumberFormat="1" applyBorder="1" applyAlignment="1">
      <alignment vertical="top" wrapText="1"/>
    </xf>
    <xf numFmtId="0" fontId="11" fillId="0" borderId="1" xfId="5" applyBorder="1" applyAlignment="1">
      <alignment vertical="top"/>
    </xf>
    <xf numFmtId="0" fontId="11" fillId="0" borderId="0" xfId="5" applyAlignment="1">
      <alignment horizontal="justify" vertical="top" wrapText="1"/>
    </xf>
    <xf numFmtId="169" fontId="11" fillId="0" borderId="0" xfId="5" applyNumberFormat="1" applyAlignment="1">
      <alignment vertical="top" wrapText="1"/>
    </xf>
    <xf numFmtId="169" fontId="11" fillId="0" borderId="0" xfId="5" applyNumberFormat="1" applyAlignment="1">
      <alignment horizontal="center" vertical="top" wrapText="1"/>
    </xf>
    <xf numFmtId="170" fontId="11" fillId="0" borderId="2" xfId="5" applyNumberFormat="1" applyBorder="1" applyAlignment="1">
      <alignment horizontal="center" vertical="top" wrapText="1"/>
    </xf>
    <xf numFmtId="0" fontId="11" fillId="0" borderId="2" xfId="5" applyBorder="1" applyAlignment="1">
      <alignment horizontal="center" vertical="top" wrapText="1"/>
    </xf>
    <xf numFmtId="0" fontId="11" fillId="0" borderId="0" xfId="5" applyAlignment="1">
      <alignment horizontal="center" vertical="top"/>
    </xf>
    <xf numFmtId="0" fontId="19" fillId="0" borderId="0" xfId="4" applyFont="1" applyAlignment="1">
      <alignment vertical="top"/>
    </xf>
    <xf numFmtId="166" fontId="0" fillId="0" borderId="0" xfId="8" applyNumberFormat="1" applyFont="1" applyFill="1" applyAlignment="1">
      <alignment horizontal="center" vertical="top"/>
    </xf>
    <xf numFmtId="172" fontId="0" fillId="0" borderId="0" xfId="8" applyNumberFormat="1" applyFont="1" applyFill="1" applyAlignment="1">
      <alignment horizontal="center" vertical="top" wrapText="1"/>
    </xf>
    <xf numFmtId="17" fontId="19" fillId="0" borderId="0" xfId="4" quotePrefix="1" applyNumberFormat="1" applyFont="1" applyAlignment="1">
      <alignment vertical="top"/>
    </xf>
    <xf numFmtId="0" fontId="3" fillId="0" borderId="1" xfId="4" applyFont="1" applyBorder="1" applyAlignment="1">
      <alignment horizontal="center" vertical="top"/>
    </xf>
    <xf numFmtId="170" fontId="13" fillId="0" borderId="1" xfId="5" quotePrefix="1" applyNumberFormat="1" applyFont="1" applyBorder="1" applyAlignment="1">
      <alignment horizontal="center" vertical="top" wrapText="1"/>
    </xf>
    <xf numFmtId="172" fontId="11" fillId="0" borderId="1" xfId="5" applyNumberFormat="1" applyBorder="1" applyAlignment="1">
      <alignment horizontal="center" vertical="top" wrapText="1"/>
    </xf>
    <xf numFmtId="0" fontId="11" fillId="4" borderId="0" xfId="5" applyFill="1"/>
    <xf numFmtId="0" fontId="11" fillId="7" borderId="0" xfId="5" applyFill="1"/>
    <xf numFmtId="0" fontId="11" fillId="8" borderId="0" xfId="5" applyFill="1"/>
    <xf numFmtId="0" fontId="11" fillId="0" borderId="0" xfId="5" applyAlignment="1">
      <alignment horizontal="right"/>
    </xf>
    <xf numFmtId="0" fontId="17" fillId="5" borderId="1" xfId="0" applyFont="1" applyFill="1" applyBorder="1" applyAlignment="1">
      <alignment vertical="center" wrapText="1"/>
    </xf>
    <xf numFmtId="0" fontId="13" fillId="0" borderId="1" xfId="5" applyFont="1" applyBorder="1"/>
    <xf numFmtId="0" fontId="13" fillId="0" borderId="12" xfId="5" applyFont="1" applyBorder="1"/>
    <xf numFmtId="0" fontId="13" fillId="0" borderId="13" xfId="5" applyFont="1" applyBorder="1"/>
    <xf numFmtId="0" fontId="11" fillId="0" borderId="12" xfId="5" applyBorder="1"/>
    <xf numFmtId="9" fontId="11" fillId="0" borderId="13" xfId="2" applyFont="1" applyBorder="1"/>
    <xf numFmtId="0" fontId="13" fillId="3" borderId="24" xfId="5" applyFont="1" applyFill="1" applyBorder="1"/>
    <xf numFmtId="9" fontId="13" fillId="3" borderId="26" xfId="2" applyFont="1" applyFill="1" applyBorder="1"/>
    <xf numFmtId="173" fontId="11" fillId="0" borderId="1" xfId="5" applyNumberFormat="1" applyBorder="1"/>
    <xf numFmtId="173" fontId="13" fillId="3" borderId="25" xfId="5" applyNumberFormat="1" applyFont="1" applyFill="1" applyBorder="1"/>
    <xf numFmtId="174" fontId="0" fillId="0" borderId="1" xfId="6" applyNumberFormat="1" applyFont="1" applyBorder="1" applyAlignment="1">
      <alignment vertical="top" wrapText="1"/>
    </xf>
    <xf numFmtId="0" fontId="4" fillId="10" borderId="0" xfId="0" applyFont="1" applyFill="1" applyAlignment="1">
      <alignment vertical="top"/>
    </xf>
    <xf numFmtId="0" fontId="2" fillId="10" borderId="0" xfId="0" applyFont="1" applyFill="1" applyAlignment="1">
      <alignment vertical="top"/>
    </xf>
    <xf numFmtId="0" fontId="17" fillId="5" borderId="1" xfId="0" applyFont="1" applyFill="1" applyBorder="1" applyAlignment="1">
      <alignment horizontal="center" vertical="center" wrapText="1"/>
    </xf>
    <xf numFmtId="0" fontId="0" fillId="0" borderId="0" xfId="0" applyAlignment="1">
      <alignment horizontal="center" vertical="top"/>
    </xf>
    <xf numFmtId="0" fontId="0" fillId="9" borderId="0" xfId="0" applyFill="1" applyAlignment="1">
      <alignment horizontal="center" vertical="top"/>
    </xf>
    <xf numFmtId="172" fontId="0" fillId="9" borderId="0" xfId="2" applyNumberFormat="1" applyFont="1" applyFill="1" applyAlignment="1">
      <alignment horizontal="center" vertical="top"/>
    </xf>
    <xf numFmtId="0" fontId="20" fillId="0" borderId="0" xfId="4" applyFont="1" applyAlignment="1">
      <alignment vertical="top"/>
    </xf>
    <xf numFmtId="0" fontId="3" fillId="0" borderId="1" xfId="0" applyFont="1" applyBorder="1" applyAlignment="1">
      <alignment horizontal="center" vertical="top"/>
    </xf>
    <xf numFmtId="168" fontId="3" fillId="0" borderId="1" xfId="1" applyNumberFormat="1" applyFont="1" applyFill="1" applyBorder="1" applyAlignment="1">
      <alignment horizontal="center" vertical="top"/>
    </xf>
    <xf numFmtId="167" fontId="0" fillId="0" borderId="1" xfId="1" applyNumberFormat="1" applyFont="1" applyBorder="1" applyAlignment="1">
      <alignment horizontal="center"/>
    </xf>
    <xf numFmtId="168" fontId="0" fillId="0" borderId="1" xfId="1" applyNumberFormat="1" applyFont="1" applyBorder="1" applyAlignment="1">
      <alignment horizontal="center"/>
    </xf>
    <xf numFmtId="168" fontId="0" fillId="2" borderId="1" xfId="1" applyNumberFormat="1" applyFont="1" applyFill="1" applyBorder="1" applyAlignment="1">
      <alignment horizontal="center"/>
    </xf>
    <xf numFmtId="3" fontId="25" fillId="0" borderId="28" xfId="1" applyNumberFormat="1" applyFont="1" applyFill="1" applyBorder="1" applyAlignment="1">
      <alignment horizontal="center" vertical="center" wrapText="1"/>
    </xf>
    <xf numFmtId="0" fontId="5" fillId="0" borderId="0" xfId="0" applyFont="1"/>
    <xf numFmtId="0" fontId="5" fillId="0" borderId="0" xfId="0" applyFont="1" applyAlignment="1">
      <alignment vertical="center"/>
    </xf>
    <xf numFmtId="0" fontId="25" fillId="0" borderId="0" xfId="0" applyFont="1" applyAlignment="1">
      <alignment vertical="center"/>
    </xf>
    <xf numFmtId="0" fontId="5" fillId="0" borderId="0" xfId="0" applyFont="1" applyAlignment="1">
      <alignment horizontal="center"/>
    </xf>
    <xf numFmtId="0" fontId="27" fillId="0" borderId="0" xfId="0" applyFont="1" applyAlignment="1">
      <alignment vertical="top"/>
    </xf>
    <xf numFmtId="0" fontId="5" fillId="0" borderId="0" xfId="0" applyFont="1" applyAlignment="1">
      <alignment horizontal="center" vertical="center"/>
    </xf>
    <xf numFmtId="0" fontId="25" fillId="0" borderId="0" xfId="0" applyFont="1" applyAlignment="1">
      <alignment horizontal="center" vertical="center"/>
    </xf>
    <xf numFmtId="166" fontId="25" fillId="0" borderId="0" xfId="0" applyNumberFormat="1" applyFont="1" applyAlignment="1">
      <alignment horizontal="center" vertical="center"/>
    </xf>
    <xf numFmtId="166" fontId="5" fillId="0" borderId="0" xfId="0" applyNumberFormat="1" applyFont="1" applyAlignment="1">
      <alignment horizontal="center"/>
    </xf>
    <xf numFmtId="0" fontId="24" fillId="0" borderId="0" xfId="0" applyFont="1" applyAlignment="1">
      <alignment horizontal="left" vertical="top"/>
    </xf>
    <xf numFmtId="0" fontId="3" fillId="0" borderId="1" xfId="0" applyFont="1" applyBorder="1" applyAlignment="1">
      <alignment horizontal="center" vertical="top" wrapText="1"/>
    </xf>
    <xf numFmtId="0" fontId="3" fillId="0" borderId="0" xfId="0" applyFont="1" applyAlignment="1">
      <alignment horizontal="center" vertical="top" wrapText="1"/>
    </xf>
    <xf numFmtId="0" fontId="3" fillId="0" borderId="0" xfId="0" applyFont="1" applyAlignment="1">
      <alignment horizontal="center" vertical="top"/>
    </xf>
    <xf numFmtId="17" fontId="0" fillId="2" borderId="0" xfId="0" applyNumberFormat="1" applyFill="1" applyAlignment="1">
      <alignment horizontal="center" vertical="top"/>
    </xf>
    <xf numFmtId="0" fontId="0" fillId="0" borderId="1" xfId="0" applyBorder="1" applyAlignment="1">
      <alignment horizontal="center" vertical="top"/>
    </xf>
    <xf numFmtId="0" fontId="3" fillId="0" borderId="22" xfId="0" applyFont="1" applyBorder="1" applyAlignment="1">
      <alignment horizontal="center" vertical="top"/>
    </xf>
    <xf numFmtId="0" fontId="3" fillId="0" borderId="23" xfId="0" applyFont="1" applyBorder="1" applyAlignment="1">
      <alignment horizontal="center" vertical="top"/>
    </xf>
    <xf numFmtId="0" fontId="0" fillId="0" borderId="0" xfId="0" applyAlignment="1">
      <alignment horizontal="left" vertical="top"/>
    </xf>
    <xf numFmtId="17" fontId="0" fillId="0" borderId="22" xfId="0" applyNumberFormat="1" applyBorder="1" applyAlignment="1">
      <alignment horizontal="center" vertical="top"/>
    </xf>
    <xf numFmtId="17" fontId="3" fillId="0" borderId="23" xfId="0" applyNumberFormat="1" applyFont="1" applyBorder="1" applyAlignment="1">
      <alignment horizontal="center" vertical="top"/>
    </xf>
    <xf numFmtId="17" fontId="0" fillId="0" borderId="23" xfId="0" applyNumberFormat="1" applyBorder="1" applyAlignment="1">
      <alignment horizontal="center" vertical="top"/>
    </xf>
    <xf numFmtId="10" fontId="11" fillId="0" borderId="1" xfId="2" applyNumberFormat="1" applyFont="1" applyBorder="1" applyAlignment="1">
      <alignment vertical="top" wrapText="1"/>
    </xf>
    <xf numFmtId="9" fontId="11" fillId="0" borderId="1" xfId="2" applyFont="1" applyBorder="1" applyAlignment="1">
      <alignment horizontal="center" vertical="top" wrapText="1"/>
    </xf>
    <xf numFmtId="1" fontId="3" fillId="0" borderId="0" xfId="0" applyNumberFormat="1" applyFont="1" applyAlignment="1">
      <alignment horizontal="center" vertical="top"/>
    </xf>
    <xf numFmtId="168" fontId="3" fillId="0" borderId="0" xfId="1" applyNumberFormat="1" applyFont="1" applyFill="1" applyBorder="1" applyAlignment="1">
      <alignment horizontal="center" vertical="top"/>
    </xf>
    <xf numFmtId="3" fontId="0" fillId="2" borderId="1" xfId="1" applyNumberFormat="1" applyFont="1" applyFill="1" applyBorder="1" applyAlignment="1">
      <alignment horizontal="center" vertical="top"/>
    </xf>
    <xf numFmtId="0" fontId="0" fillId="11" borderId="1" xfId="0" applyFill="1" applyBorder="1" applyAlignment="1">
      <alignment vertical="top"/>
    </xf>
    <xf numFmtId="168" fontId="0" fillId="0" borderId="1" xfId="1" applyNumberFormat="1" applyFont="1" applyBorder="1" applyAlignment="1">
      <alignment horizontal="left"/>
    </xf>
    <xf numFmtId="168" fontId="0" fillId="0" borderId="1" xfId="1" applyNumberFormat="1" applyFont="1" applyFill="1" applyBorder="1" applyAlignment="1">
      <alignment horizontal="center"/>
    </xf>
    <xf numFmtId="0" fontId="20" fillId="0" borderId="0" xfId="4" applyFont="1" applyAlignment="1">
      <alignment vertical="top" wrapText="1"/>
    </xf>
    <xf numFmtId="0" fontId="12" fillId="0" borderId="0" xfId="4" applyFont="1" applyAlignment="1">
      <alignment vertical="top" wrapText="1"/>
    </xf>
    <xf numFmtId="0" fontId="2" fillId="10" borderId="0" xfId="0" applyFont="1" applyFill="1" applyAlignment="1">
      <alignment vertical="top" wrapText="1"/>
    </xf>
    <xf numFmtId="0" fontId="0" fillId="0" borderId="0" xfId="0" applyAlignment="1">
      <alignment wrapText="1"/>
    </xf>
    <xf numFmtId="168" fontId="0" fillId="0" borderId="12" xfId="1" applyNumberFormat="1" applyFont="1" applyBorder="1" applyAlignment="1">
      <alignment horizontal="center"/>
    </xf>
    <xf numFmtId="168" fontId="0" fillId="0" borderId="13" xfId="1" applyNumberFormat="1" applyFont="1" applyBorder="1" applyAlignment="1">
      <alignment horizontal="center"/>
    </xf>
    <xf numFmtId="168" fontId="0" fillId="6" borderId="12" xfId="1" applyNumberFormat="1" applyFont="1" applyFill="1" applyBorder="1" applyAlignment="1">
      <alignment horizontal="center"/>
    </xf>
    <xf numFmtId="167" fontId="0" fillId="0" borderId="13" xfId="1" applyNumberFormat="1" applyFont="1" applyBorder="1" applyAlignment="1">
      <alignment horizontal="center"/>
    </xf>
    <xf numFmtId="0" fontId="0" fillId="0" borderId="18" xfId="0" applyBorder="1"/>
    <xf numFmtId="0" fontId="0" fillId="0" borderId="47" xfId="0" applyBorder="1"/>
    <xf numFmtId="0" fontId="0" fillId="0" borderId="19" xfId="0" applyBorder="1"/>
    <xf numFmtId="0" fontId="17" fillId="5" borderId="14" xfId="0" applyFont="1" applyFill="1" applyBorder="1" applyAlignment="1">
      <alignment horizontal="center" vertical="center" wrapText="1"/>
    </xf>
    <xf numFmtId="0" fontId="17" fillId="5" borderId="48" xfId="0" applyFont="1" applyFill="1" applyBorder="1" applyAlignment="1">
      <alignment horizontal="center" vertical="center" wrapText="1"/>
    </xf>
    <xf numFmtId="168" fontId="0" fillId="0" borderId="49" xfId="0" applyNumberFormat="1" applyBorder="1" applyAlignment="1">
      <alignment wrapText="1"/>
    </xf>
    <xf numFmtId="0" fontId="0" fillId="0" borderId="18" xfId="0" applyBorder="1" applyAlignment="1">
      <alignment wrapText="1"/>
    </xf>
    <xf numFmtId="0" fontId="17" fillId="5" borderId="12" xfId="0" applyFont="1" applyFill="1" applyBorder="1" applyAlignment="1">
      <alignment horizontal="center" vertical="center" wrapText="1"/>
    </xf>
    <xf numFmtId="0" fontId="17" fillId="5" borderId="13" xfId="0" applyFont="1" applyFill="1" applyBorder="1" applyAlignment="1">
      <alignment horizontal="center" vertical="center" wrapText="1"/>
    </xf>
    <xf numFmtId="0" fontId="22" fillId="0" borderId="0" xfId="0" applyFont="1" applyAlignment="1">
      <alignment vertical="top"/>
    </xf>
    <xf numFmtId="0" fontId="14" fillId="0" borderId="0" xfId="5" applyFont="1"/>
    <xf numFmtId="168" fontId="0" fillId="0" borderId="12" xfId="1" applyNumberFormat="1" applyFont="1" applyFill="1" applyBorder="1" applyAlignment="1">
      <alignment horizontal="center"/>
    </xf>
    <xf numFmtId="167" fontId="0" fillId="6" borderId="12" xfId="1" applyNumberFormat="1" applyFont="1" applyFill="1" applyBorder="1" applyAlignment="1">
      <alignment horizontal="center"/>
    </xf>
    <xf numFmtId="168" fontId="0" fillId="0" borderId="0" xfId="1" applyNumberFormat="1" applyFont="1" applyFill="1" applyBorder="1" applyAlignment="1">
      <alignment vertical="top"/>
    </xf>
    <xf numFmtId="0" fontId="30" fillId="0" borderId="0" xfId="0" applyFont="1" applyAlignment="1">
      <alignment vertical="top"/>
    </xf>
    <xf numFmtId="3" fontId="0" fillId="0" borderId="2" xfId="1" applyNumberFormat="1" applyFont="1" applyFill="1" applyBorder="1" applyAlignment="1">
      <alignment horizontal="center" vertical="top"/>
    </xf>
    <xf numFmtId="0" fontId="17" fillId="5" borderId="12" xfId="0" applyFont="1" applyFill="1" applyBorder="1" applyAlignment="1">
      <alignment horizontal="left" vertical="center" wrapText="1"/>
    </xf>
    <xf numFmtId="0" fontId="0" fillId="0" borderId="13" xfId="0" applyBorder="1" applyAlignment="1">
      <alignment wrapText="1"/>
    </xf>
    <xf numFmtId="0" fontId="29" fillId="5" borderId="12" xfId="0" applyFont="1" applyFill="1" applyBorder="1" applyAlignment="1">
      <alignment horizontal="left" vertical="center" wrapText="1"/>
    </xf>
    <xf numFmtId="0" fontId="0" fillId="0" borderId="19" xfId="0" applyBorder="1" applyAlignment="1">
      <alignment wrapText="1"/>
    </xf>
    <xf numFmtId="0" fontId="0" fillId="10" borderId="0" xfId="0" applyFill="1"/>
    <xf numFmtId="0" fontId="0" fillId="0" borderId="1" xfId="5" applyFont="1" applyBorder="1" applyAlignment="1">
      <alignment horizontal="justify" vertical="top" wrapText="1"/>
    </xf>
    <xf numFmtId="0" fontId="0" fillId="0" borderId="0" xfId="0" applyAlignment="1">
      <alignment horizontal="left" vertical="center"/>
    </xf>
    <xf numFmtId="0" fontId="0" fillId="0" borderId="0" xfId="0" applyAlignment="1">
      <alignment horizontal="center"/>
    </xf>
    <xf numFmtId="1" fontId="13" fillId="0" borderId="1" xfId="5" applyNumberFormat="1" applyFont="1" applyBorder="1" applyAlignment="1">
      <alignment horizontal="center" vertical="top" wrapText="1"/>
    </xf>
    <xf numFmtId="174" fontId="0" fillId="0" borderId="1" xfId="6" applyNumberFormat="1" applyFont="1" applyFill="1" applyBorder="1" applyAlignment="1">
      <alignment vertical="top" wrapText="1"/>
    </xf>
    <xf numFmtId="1" fontId="13" fillId="0" borderId="20" xfId="5" applyNumberFormat="1" applyFont="1" applyBorder="1" applyAlignment="1">
      <alignment horizontal="center" vertical="top" wrapText="1"/>
    </xf>
    <xf numFmtId="0" fontId="13" fillId="0" borderId="20" xfId="5" applyFont="1" applyBorder="1" applyAlignment="1">
      <alignment horizontal="center" vertical="top" wrapText="1"/>
    </xf>
    <xf numFmtId="174" fontId="13" fillId="0" borderId="20" xfId="5" applyNumberFormat="1" applyFont="1" applyBorder="1" applyAlignment="1">
      <alignment vertical="top" wrapText="1"/>
    </xf>
    <xf numFmtId="174" fontId="13" fillId="0" borderId="20" xfId="6" applyNumberFormat="1" applyFont="1" applyFill="1" applyBorder="1" applyAlignment="1">
      <alignment vertical="top" wrapText="1"/>
    </xf>
    <xf numFmtId="167" fontId="0" fillId="2" borderId="1" xfId="1" applyNumberFormat="1" applyFont="1" applyFill="1" applyBorder="1" applyAlignment="1">
      <alignment horizontal="center"/>
    </xf>
    <xf numFmtId="167" fontId="0" fillId="0" borderId="49" xfId="0" applyNumberFormat="1" applyBorder="1" applyAlignment="1">
      <alignment wrapText="1"/>
    </xf>
    <xf numFmtId="9" fontId="11" fillId="0" borderId="0" xfId="2" applyFont="1"/>
    <xf numFmtId="164" fontId="13" fillId="0" borderId="1" xfId="5" applyNumberFormat="1" applyFont="1" applyBorder="1" applyAlignment="1">
      <alignment horizontal="center" vertical="top" wrapText="1"/>
    </xf>
    <xf numFmtId="17" fontId="0" fillId="0" borderId="0" xfId="0" applyNumberFormat="1" applyAlignment="1">
      <alignment horizontal="center" vertical="top"/>
    </xf>
    <xf numFmtId="172" fontId="0" fillId="0" borderId="1" xfId="2" applyNumberFormat="1" applyFont="1" applyBorder="1" applyAlignment="1">
      <alignment horizontal="center" vertical="top"/>
    </xf>
    <xf numFmtId="0" fontId="13" fillId="2" borderId="1" xfId="5" applyFont="1" applyFill="1" applyBorder="1" applyAlignment="1">
      <alignment horizontal="center" vertical="top" wrapText="1"/>
    </xf>
    <xf numFmtId="0" fontId="13" fillId="2" borderId="1" xfId="5" applyFont="1" applyFill="1" applyBorder="1" applyAlignment="1">
      <alignment horizontal="center" vertical="top"/>
    </xf>
    <xf numFmtId="0" fontId="13" fillId="2" borderId="1" xfId="5" applyFont="1" applyFill="1" applyBorder="1" applyAlignment="1">
      <alignment horizontal="left" vertical="top" wrapText="1"/>
    </xf>
    <xf numFmtId="169" fontId="11" fillId="2" borderId="1" xfId="5" applyNumberFormat="1" applyFill="1" applyBorder="1" applyAlignment="1">
      <alignment vertical="top" wrapText="1"/>
    </xf>
    <xf numFmtId="0" fontId="11" fillId="2" borderId="1" xfId="5" applyFill="1" applyBorder="1" applyAlignment="1">
      <alignment horizontal="center" vertical="top"/>
    </xf>
    <xf numFmtId="0" fontId="11" fillId="2" borderId="1" xfId="5" applyFill="1" applyBorder="1" applyAlignment="1">
      <alignment horizontal="justify" vertical="top" wrapText="1"/>
    </xf>
    <xf numFmtId="0" fontId="11" fillId="2" borderId="1" xfId="5" applyFill="1" applyBorder="1" applyAlignment="1">
      <alignment horizontal="center" vertical="top" wrapText="1"/>
    </xf>
    <xf numFmtId="17" fontId="0" fillId="2" borderId="1" xfId="0" applyNumberFormat="1" applyFill="1" applyBorder="1" applyAlignment="1">
      <alignment horizontal="center" vertical="top"/>
    </xf>
    <xf numFmtId="0" fontId="13" fillId="2" borderId="1" xfId="5" applyFont="1" applyFill="1" applyBorder="1" applyAlignment="1">
      <alignment horizontal="justify" vertical="top" wrapText="1"/>
    </xf>
    <xf numFmtId="170" fontId="11" fillId="2" borderId="1" xfId="5" applyNumberFormat="1" applyFill="1" applyBorder="1" applyAlignment="1">
      <alignment vertical="top" wrapText="1"/>
    </xf>
    <xf numFmtId="170" fontId="11" fillId="2" borderId="1" xfId="5" applyNumberFormat="1" applyFill="1" applyBorder="1" applyAlignment="1">
      <alignment horizontal="center" vertical="top" wrapText="1"/>
    </xf>
    <xf numFmtId="164" fontId="11" fillId="2" borderId="1" xfId="5" applyNumberFormat="1" applyFill="1" applyBorder="1" applyAlignment="1">
      <alignment horizontal="center" vertical="top" wrapText="1"/>
    </xf>
    <xf numFmtId="165" fontId="11" fillId="2" borderId="1" xfId="5" applyNumberFormat="1" applyFill="1" applyBorder="1" applyAlignment="1">
      <alignment horizontal="center" vertical="top" wrapText="1"/>
    </xf>
    <xf numFmtId="1" fontId="11" fillId="2" borderId="1" xfId="5" applyNumberFormat="1" applyFill="1" applyBorder="1" applyAlignment="1">
      <alignment horizontal="center" vertical="top" wrapText="1"/>
    </xf>
    <xf numFmtId="9" fontId="11" fillId="2" borderId="1" xfId="5" applyNumberFormat="1" applyFill="1" applyBorder="1" applyAlignment="1">
      <alignment horizontal="center" vertical="top" wrapText="1"/>
    </xf>
    <xf numFmtId="9" fontId="0" fillId="2" borderId="1" xfId="8" applyFont="1" applyFill="1" applyBorder="1" applyAlignment="1">
      <alignment horizontal="center" vertical="top" wrapText="1"/>
    </xf>
    <xf numFmtId="9" fontId="11" fillId="2" borderId="1" xfId="5" applyNumberFormat="1" applyFill="1" applyBorder="1" applyAlignment="1">
      <alignment horizontal="center" vertical="top"/>
    </xf>
    <xf numFmtId="2" fontId="11" fillId="2" borderId="1" xfId="5" applyNumberFormat="1" applyFill="1" applyBorder="1" applyAlignment="1">
      <alignment horizontal="center" vertical="top" wrapText="1"/>
    </xf>
    <xf numFmtId="172" fontId="0" fillId="2" borderId="1" xfId="8" applyNumberFormat="1" applyFont="1" applyFill="1" applyBorder="1" applyAlignment="1">
      <alignment horizontal="center" vertical="top" wrapText="1"/>
    </xf>
    <xf numFmtId="0" fontId="16" fillId="2" borderId="1" xfId="5" applyFont="1" applyFill="1" applyBorder="1" applyAlignment="1">
      <alignment horizontal="justify" vertical="top" wrapText="1"/>
    </xf>
    <xf numFmtId="169" fontId="11" fillId="2" borderId="1" xfId="5" applyNumberFormat="1" applyFill="1" applyBorder="1" applyAlignment="1">
      <alignment horizontal="center" vertical="top" wrapText="1"/>
    </xf>
    <xf numFmtId="172" fontId="11" fillId="2" borderId="1" xfId="5" applyNumberFormat="1" applyFill="1" applyBorder="1" applyAlignment="1">
      <alignment horizontal="center" vertical="top" wrapText="1"/>
    </xf>
    <xf numFmtId="3" fontId="5" fillId="0" borderId="0" xfId="0" applyNumberFormat="1" applyFont="1" applyAlignment="1">
      <alignment horizontal="center"/>
    </xf>
    <xf numFmtId="44" fontId="5" fillId="0" borderId="0" xfId="11" applyFont="1" applyFill="1" applyBorder="1"/>
    <xf numFmtId="0" fontId="25" fillId="0" borderId="27" xfId="0" applyFont="1" applyBorder="1" applyAlignment="1">
      <alignment horizontal="center" vertical="center" wrapText="1"/>
    </xf>
    <xf numFmtId="44" fontId="25" fillId="0" borderId="29" xfId="11" applyFont="1" applyFill="1" applyBorder="1" applyAlignment="1">
      <alignment horizontal="center" vertical="center" wrapText="1"/>
    </xf>
    <xf numFmtId="44" fontId="25" fillId="0" borderId="11" xfId="11" applyFont="1" applyFill="1" applyBorder="1" applyAlignment="1">
      <alignment horizontal="center" vertical="center" wrapText="1"/>
    </xf>
    <xf numFmtId="44" fontId="25" fillId="0" borderId="30" xfId="11" applyFont="1" applyFill="1" applyBorder="1" applyAlignment="1">
      <alignment horizontal="center" vertical="center" wrapText="1"/>
    </xf>
    <xf numFmtId="0" fontId="5" fillId="0" borderId="31" xfId="0" applyFont="1" applyBorder="1"/>
    <xf numFmtId="0" fontId="5" fillId="0" borderId="31" xfId="0" applyFont="1" applyBorder="1" applyAlignment="1">
      <alignment horizontal="center"/>
    </xf>
    <xf numFmtId="3" fontId="5" fillId="0" borderId="32" xfId="0" applyNumberFormat="1" applyFont="1" applyBorder="1" applyAlignment="1">
      <alignment horizontal="center"/>
    </xf>
    <xf numFmtId="44" fontId="5" fillId="0" borderId="33" xfId="11" applyFont="1" applyFill="1" applyBorder="1"/>
    <xf numFmtId="44" fontId="5" fillId="0" borderId="32" xfId="11" applyFont="1" applyFill="1" applyBorder="1"/>
    <xf numFmtId="44" fontId="5" fillId="0" borderId="34" xfId="11" applyFont="1" applyFill="1" applyBorder="1"/>
    <xf numFmtId="0" fontId="26" fillId="0" borderId="35" xfId="0" quotePrefix="1" applyFont="1" applyBorder="1" applyAlignment="1">
      <alignment horizontal="justify" vertical="center"/>
    </xf>
    <xf numFmtId="0" fontId="26" fillId="0" borderId="35" xfId="0" quotePrefix="1" applyFont="1" applyBorder="1" applyAlignment="1">
      <alignment horizontal="center" vertical="center"/>
    </xf>
    <xf numFmtId="3" fontId="5" fillId="0" borderId="36" xfId="0" applyNumberFormat="1" applyFont="1" applyBorder="1" applyAlignment="1">
      <alignment horizontal="center" vertical="center"/>
    </xf>
    <xf numFmtId="44" fontId="5" fillId="0" borderId="37" xfId="11" applyFont="1" applyFill="1" applyBorder="1" applyAlignment="1">
      <alignment vertical="center"/>
    </xf>
    <xf numFmtId="44" fontId="5" fillId="0" borderId="36" xfId="11" applyFont="1" applyFill="1" applyBorder="1" applyAlignment="1">
      <alignment vertical="center"/>
    </xf>
    <xf numFmtId="44" fontId="5" fillId="0" borderId="38" xfId="11" applyFont="1" applyFill="1" applyBorder="1" applyAlignment="1">
      <alignment vertical="center"/>
    </xf>
    <xf numFmtId="0" fontId="5" fillId="0" borderId="35" xfId="0" quotePrefix="1" applyFont="1" applyBorder="1" applyAlignment="1">
      <alignment vertical="center"/>
    </xf>
    <xf numFmtId="0" fontId="5" fillId="0" borderId="35" xfId="0" applyFont="1" applyBorder="1" applyAlignment="1">
      <alignment horizontal="center" vertical="center"/>
    </xf>
    <xf numFmtId="4" fontId="5" fillId="0" borderId="36" xfId="0" applyNumberFormat="1" applyFont="1" applyBorder="1" applyAlignment="1">
      <alignment horizontal="center" vertical="center"/>
    </xf>
    <xf numFmtId="0" fontId="5" fillId="0" borderId="35" xfId="0" applyFont="1" applyBorder="1" applyAlignment="1">
      <alignment vertical="center"/>
    </xf>
    <xf numFmtId="0" fontId="5" fillId="0" borderId="39" xfId="0" applyFont="1" applyBorder="1"/>
    <xf numFmtId="0" fontId="5" fillId="0" borderId="39" xfId="0" applyFont="1" applyBorder="1" applyAlignment="1">
      <alignment horizontal="center"/>
    </xf>
    <xf numFmtId="3" fontId="5" fillId="0" borderId="40" xfId="0" applyNumberFormat="1" applyFont="1" applyBorder="1" applyAlignment="1">
      <alignment horizontal="center"/>
    </xf>
    <xf numFmtId="44" fontId="5" fillId="0" borderId="41" xfId="11" applyFont="1" applyFill="1" applyBorder="1"/>
    <xf numFmtId="44" fontId="5" fillId="0" borderId="40" xfId="11" applyFont="1" applyFill="1" applyBorder="1"/>
    <xf numFmtId="44" fontId="5" fillId="0" borderId="42" xfId="11" applyFont="1" applyFill="1" applyBorder="1"/>
    <xf numFmtId="0" fontId="25" fillId="0" borderId="43" xfId="0" applyFont="1" applyBorder="1" applyAlignment="1">
      <alignment vertical="center"/>
    </xf>
    <xf numFmtId="0" fontId="25" fillId="0" borderId="43" xfId="0" applyFont="1" applyBorder="1" applyAlignment="1">
      <alignment horizontal="center" vertical="center"/>
    </xf>
    <xf numFmtId="3" fontId="25" fillId="0" borderId="43" xfId="0" applyNumberFormat="1" applyFont="1" applyBorder="1" applyAlignment="1">
      <alignment horizontal="center" vertical="center"/>
    </xf>
    <xf numFmtId="44" fontId="25" fillId="0" borderId="16" xfId="11" applyFont="1" applyFill="1" applyBorder="1" applyAlignment="1">
      <alignment vertical="center"/>
    </xf>
    <xf numFmtId="44" fontId="25" fillId="0" borderId="43" xfId="11" applyFont="1" applyFill="1" applyBorder="1" applyAlignment="1">
      <alignment vertical="center"/>
    </xf>
    <xf numFmtId="44" fontId="25" fillId="0" borderId="30" xfId="11" applyFont="1" applyFill="1" applyBorder="1" applyAlignment="1">
      <alignment vertical="center"/>
    </xf>
    <xf numFmtId="0" fontId="5" fillId="0" borderId="35" xfId="0" quotePrefix="1" applyFont="1" applyBorder="1" applyAlignment="1">
      <alignment horizontal="center" vertical="center"/>
    </xf>
    <xf numFmtId="0" fontId="5" fillId="0" borderId="39" xfId="0" quotePrefix="1" applyFont="1" applyBorder="1" applyAlignment="1">
      <alignment horizontal="justify"/>
    </xf>
    <xf numFmtId="0" fontId="5" fillId="0" borderId="39" xfId="0" quotePrefix="1" applyFont="1" applyBorder="1" applyAlignment="1">
      <alignment horizontal="center"/>
    </xf>
    <xf numFmtId="3" fontId="26" fillId="0" borderId="36" xfId="0" quotePrefix="1" applyNumberFormat="1" applyFont="1" applyBorder="1" applyAlignment="1">
      <alignment horizontal="center" vertical="center"/>
    </xf>
    <xf numFmtId="3" fontId="5" fillId="0" borderId="36" xfId="0" quotePrefix="1" applyNumberFormat="1" applyFont="1" applyBorder="1" applyAlignment="1">
      <alignment horizontal="center" vertical="center"/>
    </xf>
    <xf numFmtId="0" fontId="26" fillId="0" borderId="35" xfId="0" quotePrefix="1" applyFont="1" applyBorder="1" applyAlignment="1">
      <alignment vertical="center"/>
    </xf>
    <xf numFmtId="0" fontId="26" fillId="0" borderId="35" xfId="0" quotePrefix="1" applyFont="1" applyBorder="1" applyAlignment="1">
      <alignment horizontal="justify"/>
    </xf>
    <xf numFmtId="0" fontId="26" fillId="0" borderId="35" xfId="0" quotePrefix="1" applyFont="1" applyBorder="1" applyAlignment="1">
      <alignment horizontal="center"/>
    </xf>
    <xf numFmtId="3" fontId="5" fillId="0" borderId="36" xfId="0" applyNumberFormat="1" applyFont="1" applyBorder="1" applyAlignment="1">
      <alignment horizontal="center"/>
    </xf>
    <xf numFmtId="44" fontId="5" fillId="0" borderId="37" xfId="11" applyFont="1" applyFill="1" applyBorder="1"/>
    <xf numFmtId="44" fontId="5" fillId="0" borderId="36" xfId="11" applyFont="1" applyFill="1" applyBorder="1"/>
    <xf numFmtId="44" fontId="5" fillId="0" borderId="38" xfId="11" applyFont="1" applyFill="1" applyBorder="1"/>
    <xf numFmtId="0" fontId="5" fillId="0" borderId="35" xfId="0" quotePrefix="1" applyFont="1" applyBorder="1" applyAlignment="1">
      <alignment vertical="center" shrinkToFit="1"/>
    </xf>
    <xf numFmtId="0" fontId="5" fillId="0" borderId="44" xfId="0" applyFont="1" applyBorder="1"/>
    <xf numFmtId="0" fontId="5" fillId="0" borderId="44" xfId="0" applyFont="1" applyBorder="1" applyAlignment="1">
      <alignment horizontal="center"/>
    </xf>
    <xf numFmtId="3" fontId="5" fillId="0" borderId="44" xfId="0" applyNumberFormat="1" applyFont="1" applyBorder="1" applyAlignment="1">
      <alignment horizontal="center"/>
    </xf>
    <xf numFmtId="44" fontId="5" fillId="0" borderId="45" xfId="11" applyFont="1" applyFill="1" applyBorder="1"/>
    <xf numFmtId="44" fontId="5" fillId="0" borderId="44" xfId="11" applyFont="1" applyFill="1" applyBorder="1"/>
    <xf numFmtId="44" fontId="5" fillId="0" borderId="46" xfId="11" applyFont="1" applyFill="1" applyBorder="1"/>
    <xf numFmtId="0" fontId="24" fillId="0" borderId="0" xfId="0" applyFont="1"/>
    <xf numFmtId="0" fontId="2" fillId="12" borderId="0" xfId="0" applyFont="1" applyFill="1"/>
    <xf numFmtId="0" fontId="4" fillId="12" borderId="0" xfId="0" applyFont="1" applyFill="1"/>
    <xf numFmtId="0" fontId="24" fillId="13" borderId="0" xfId="0" applyFont="1" applyFill="1"/>
    <xf numFmtId="0" fontId="0" fillId="13" borderId="0" xfId="0" applyFill="1"/>
    <xf numFmtId="17" fontId="0" fillId="0" borderId="5" xfId="0" applyNumberFormat="1" applyBorder="1" applyAlignment="1">
      <alignment horizontal="center" vertical="top"/>
    </xf>
    <xf numFmtId="17" fontId="0" fillId="0" borderId="3" xfId="0" applyNumberFormat="1" applyBorder="1" applyAlignment="1">
      <alignment horizontal="center" vertical="top"/>
    </xf>
    <xf numFmtId="17" fontId="3" fillId="3" borderId="57" xfId="0" applyNumberFormat="1" applyFont="1" applyFill="1" applyBorder="1" applyAlignment="1">
      <alignment horizontal="center" vertical="top"/>
    </xf>
    <xf numFmtId="17" fontId="0" fillId="2" borderId="60" xfId="0" applyNumberFormat="1" applyFill="1" applyBorder="1" applyAlignment="1">
      <alignment horizontal="center" vertical="top"/>
    </xf>
    <xf numFmtId="17" fontId="0" fillId="2" borderId="62" xfId="0" applyNumberFormat="1" applyFill="1" applyBorder="1" applyAlignment="1">
      <alignment horizontal="center" vertical="top"/>
    </xf>
    <xf numFmtId="17" fontId="0" fillId="2" borderId="65" xfId="0" applyNumberFormat="1" applyFill="1" applyBorder="1" applyAlignment="1">
      <alignment horizontal="center" vertical="top"/>
    </xf>
    <xf numFmtId="0" fontId="3" fillId="2" borderId="1" xfId="4" applyFont="1" applyFill="1" applyBorder="1" applyAlignment="1">
      <alignment horizontal="left" vertical="top"/>
    </xf>
    <xf numFmtId="0" fontId="17" fillId="5" borderId="50" xfId="0" applyFont="1" applyFill="1" applyBorder="1" applyAlignment="1">
      <alignment horizontal="center" vertical="center" wrapText="1"/>
    </xf>
    <xf numFmtId="0" fontId="17" fillId="5" borderId="51" xfId="0" applyFont="1" applyFill="1" applyBorder="1" applyAlignment="1">
      <alignment horizontal="center" vertical="center" wrapText="1"/>
    </xf>
    <xf numFmtId="0" fontId="17" fillId="5" borderId="52" xfId="0" applyFont="1" applyFill="1" applyBorder="1" applyAlignment="1">
      <alignment horizontal="center" vertical="center" wrapText="1"/>
    </xf>
    <xf numFmtId="0" fontId="17" fillId="5" borderId="53" xfId="0" applyFont="1" applyFill="1" applyBorder="1" applyAlignment="1">
      <alignment horizontal="center" vertical="center" wrapText="1"/>
    </xf>
    <xf numFmtId="0" fontId="17" fillId="5" borderId="54" xfId="0" applyFont="1" applyFill="1" applyBorder="1" applyAlignment="1">
      <alignment horizontal="center" vertical="center" wrapText="1"/>
    </xf>
    <xf numFmtId="0" fontId="17" fillId="5" borderId="55" xfId="0" applyFont="1" applyFill="1" applyBorder="1" applyAlignment="1">
      <alignment horizontal="center" vertical="center" wrapText="1"/>
    </xf>
    <xf numFmtId="0" fontId="17" fillId="5" borderId="56" xfId="0" applyFont="1" applyFill="1" applyBorder="1" applyAlignment="1">
      <alignment horizontal="center" vertical="center" wrapText="1"/>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10" xfId="0" applyFont="1" applyBorder="1" applyAlignment="1">
      <alignment horizontal="center" vertical="top" wrapText="1"/>
    </xf>
    <xf numFmtId="0" fontId="3" fillId="0" borderId="8" xfId="0" quotePrefix="1" applyFont="1" applyBorder="1" applyAlignment="1">
      <alignment horizontal="center" vertical="top"/>
    </xf>
    <xf numFmtId="0" fontId="3" fillId="0" borderId="10" xfId="0" quotePrefix="1" applyFont="1" applyBorder="1" applyAlignment="1">
      <alignment horizontal="center" vertical="top"/>
    </xf>
    <xf numFmtId="0" fontId="17" fillId="5" borderId="0" xfId="0" applyFont="1" applyFill="1" applyAlignment="1">
      <alignment horizontal="left" vertical="top"/>
    </xf>
    <xf numFmtId="0" fontId="34" fillId="3" borderId="0" xfId="0" applyFont="1" applyFill="1"/>
    <xf numFmtId="0" fontId="17" fillId="5" borderId="0" xfId="0" applyFont="1" applyFill="1"/>
    <xf numFmtId="0" fontId="17" fillId="5" borderId="0" xfId="0" applyFont="1" applyFill="1" applyAlignment="1">
      <alignment horizontal="center"/>
    </xf>
    <xf numFmtId="0" fontId="3" fillId="0" borderId="0" xfId="0" applyFont="1"/>
    <xf numFmtId="0" fontId="3" fillId="0" borderId="0" xfId="0" applyFont="1" applyAlignment="1">
      <alignment horizontal="center"/>
    </xf>
    <xf numFmtId="175" fontId="3" fillId="0" borderId="0" xfId="0" applyNumberFormat="1" applyFont="1" applyAlignment="1">
      <alignment horizontal="center"/>
    </xf>
    <xf numFmtId="164" fontId="3" fillId="14" borderId="0" xfId="0" applyNumberFormat="1" applyFont="1" applyFill="1" applyAlignment="1">
      <alignment horizontal="center"/>
    </xf>
    <xf numFmtId="0" fontId="27" fillId="0" borderId="0" xfId="0" applyFont="1" applyAlignment="1">
      <alignment horizontal="center" vertical="top"/>
    </xf>
    <xf numFmtId="0" fontId="35" fillId="0" borderId="0" xfId="0" applyFont="1"/>
    <xf numFmtId="164" fontId="0" fillId="15" borderId="0" xfId="0" applyNumberFormat="1" applyFill="1" applyAlignment="1">
      <alignment horizontal="center"/>
    </xf>
    <xf numFmtId="0" fontId="17" fillId="17" borderId="0" xfId="0" applyFont="1" applyFill="1"/>
    <xf numFmtId="175" fontId="3" fillId="15" borderId="0" xfId="0" applyNumberFormat="1" applyFont="1" applyFill="1" applyAlignment="1">
      <alignment horizontal="center"/>
    </xf>
    <xf numFmtId="164" fontId="0" fillId="14" borderId="0" xfId="0" applyNumberFormat="1" applyFill="1" applyAlignment="1">
      <alignment horizontal="center"/>
    </xf>
    <xf numFmtId="0" fontId="17" fillId="16" borderId="0" xfId="0" applyFont="1" applyFill="1"/>
    <xf numFmtId="0" fontId="3" fillId="0" borderId="0" xfId="0" applyFont="1" applyAlignment="1">
      <alignment wrapText="1"/>
    </xf>
    <xf numFmtId="0" fontId="37" fillId="0" borderId="0" xfId="0" applyFont="1" applyAlignment="1">
      <alignment horizontal="center" vertical="top"/>
    </xf>
    <xf numFmtId="164" fontId="0" fillId="0" borderId="0" xfId="0" applyNumberFormat="1" applyAlignment="1">
      <alignment horizontal="center" vertical="top"/>
    </xf>
    <xf numFmtId="17" fontId="3" fillId="18" borderId="0" xfId="0" applyNumberFormat="1" applyFont="1" applyFill="1" applyAlignment="1">
      <alignment horizontal="center" vertical="top"/>
    </xf>
    <xf numFmtId="164" fontId="3" fillId="18" borderId="0" xfId="0" applyNumberFormat="1" applyFont="1" applyFill="1" applyAlignment="1">
      <alignment horizontal="center" vertical="top"/>
    </xf>
    <xf numFmtId="17" fontId="36" fillId="18" borderId="0" xfId="0" applyNumberFormat="1" applyFont="1" applyFill="1" applyAlignment="1">
      <alignment horizontal="center"/>
    </xf>
    <xf numFmtId="164" fontId="33" fillId="19" borderId="0" xfId="0" applyNumberFormat="1" applyFont="1" applyFill="1" applyAlignment="1">
      <alignment horizontal="center"/>
    </xf>
    <xf numFmtId="164" fontId="0" fillId="19" borderId="0" xfId="0" applyNumberFormat="1" applyFill="1" applyAlignment="1">
      <alignment horizontal="center"/>
    </xf>
    <xf numFmtId="164" fontId="0" fillId="19" borderId="0" xfId="0" applyNumberFormat="1" applyFont="1" applyFill="1" applyAlignment="1">
      <alignment horizontal="center"/>
    </xf>
    <xf numFmtId="164" fontId="35" fillId="14" borderId="0" xfId="0" applyNumberFormat="1" applyFont="1" applyFill="1" applyAlignment="1">
      <alignment horizontal="center"/>
    </xf>
    <xf numFmtId="164" fontId="0" fillId="2" borderId="63" xfId="0" applyNumberFormat="1" applyFill="1" applyBorder="1" applyAlignment="1">
      <alignment horizontal="center" vertical="top"/>
    </xf>
    <xf numFmtId="164" fontId="0" fillId="2" borderId="64" xfId="0" applyNumberFormat="1" applyFill="1" applyBorder="1" applyAlignment="1">
      <alignment horizontal="center" vertical="top"/>
    </xf>
    <xf numFmtId="164" fontId="0" fillId="2" borderId="22" xfId="0" applyNumberFormat="1" applyFill="1" applyBorder="1" applyAlignment="1">
      <alignment horizontal="center" vertical="top"/>
    </xf>
    <xf numFmtId="164" fontId="0" fillId="2" borderId="61" xfId="0" applyNumberFormat="1" applyFill="1" applyBorder="1" applyAlignment="1">
      <alignment horizontal="center" vertical="top"/>
    </xf>
    <xf numFmtId="164" fontId="0" fillId="2" borderId="66" xfId="0" applyNumberFormat="1" applyFill="1" applyBorder="1" applyAlignment="1">
      <alignment horizontal="center" vertical="top"/>
    </xf>
    <xf numFmtId="164" fontId="0" fillId="2" borderId="67" xfId="0" applyNumberFormat="1" applyFill="1" applyBorder="1" applyAlignment="1">
      <alignment horizontal="center" vertical="top"/>
    </xf>
    <xf numFmtId="164" fontId="3" fillId="14" borderId="58" xfId="0" applyNumberFormat="1" applyFont="1" applyFill="1" applyBorder="1" applyAlignment="1">
      <alignment horizontal="center" vertical="top"/>
    </xf>
    <xf numFmtId="164" fontId="3" fillId="14" borderId="59" xfId="0" applyNumberFormat="1" applyFont="1" applyFill="1" applyBorder="1" applyAlignment="1">
      <alignment horizontal="center" vertical="top"/>
    </xf>
    <xf numFmtId="164" fontId="0" fillId="2" borderId="4" xfId="0" applyNumberFormat="1" applyFill="1" applyBorder="1" applyAlignment="1">
      <alignment horizontal="center" vertical="top"/>
    </xf>
    <xf numFmtId="164" fontId="0" fillId="2" borderId="23" xfId="0" applyNumberFormat="1" applyFill="1" applyBorder="1" applyAlignment="1">
      <alignment horizontal="center" vertical="top"/>
    </xf>
    <xf numFmtId="164" fontId="0" fillId="2" borderId="6" xfId="0" applyNumberFormat="1" applyFill="1" applyBorder="1" applyAlignment="1">
      <alignment horizontal="center" vertical="top"/>
    </xf>
    <xf numFmtId="164" fontId="0" fillId="0" borderId="3" xfId="0" applyNumberFormat="1" applyBorder="1" applyAlignment="1">
      <alignment horizontal="center" vertical="top"/>
    </xf>
    <xf numFmtId="164" fontId="0" fillId="0" borderId="21" xfId="0" applyNumberFormat="1" applyBorder="1" applyAlignment="1">
      <alignment horizontal="center" vertical="top"/>
    </xf>
    <xf numFmtId="164" fontId="0" fillId="0" borderId="5" xfId="0" applyNumberFormat="1" applyBorder="1" applyAlignment="1">
      <alignment horizontal="center" vertical="top"/>
    </xf>
    <xf numFmtId="164" fontId="0" fillId="0" borderId="22" xfId="0" applyNumberFormat="1" applyBorder="1" applyAlignment="1">
      <alignment horizontal="center" vertical="top"/>
    </xf>
    <xf numFmtId="164" fontId="0" fillId="0" borderId="7" xfId="0" applyNumberFormat="1" applyBorder="1" applyAlignment="1">
      <alignment horizontal="center" vertical="top"/>
    </xf>
    <xf numFmtId="164" fontId="0" fillId="0" borderId="23" xfId="0" applyNumberFormat="1" applyBorder="1" applyAlignment="1">
      <alignment horizontal="center" vertical="top"/>
    </xf>
    <xf numFmtId="164" fontId="3" fillId="0" borderId="23" xfId="0" applyNumberFormat="1" applyFont="1" applyBorder="1" applyAlignment="1">
      <alignment horizontal="center" vertical="top"/>
    </xf>
    <xf numFmtId="164" fontId="0" fillId="0" borderId="1" xfId="0" applyNumberFormat="1" applyBorder="1" applyAlignment="1">
      <alignment horizontal="center" vertical="top"/>
    </xf>
    <xf numFmtId="164" fontId="0" fillId="2" borderId="1" xfId="0" applyNumberFormat="1" applyFill="1" applyBorder="1" applyAlignment="1">
      <alignment horizontal="center" vertical="top"/>
    </xf>
    <xf numFmtId="0" fontId="38" fillId="0" borderId="0" xfId="0" applyFont="1"/>
    <xf numFmtId="0" fontId="39" fillId="5" borderId="31" xfId="0" applyFont="1" applyFill="1" applyBorder="1"/>
    <xf numFmtId="17" fontId="40" fillId="3" borderId="32" xfId="0" applyNumberFormat="1" applyFont="1" applyFill="1" applyBorder="1" applyAlignment="1">
      <alignment horizontal="center"/>
    </xf>
    <xf numFmtId="175" fontId="26" fillId="14" borderId="33" xfId="11" applyNumberFormat="1" applyFont="1" applyFill="1" applyBorder="1" applyAlignment="1">
      <alignment horizontal="center"/>
    </xf>
    <xf numFmtId="175" fontId="26" fillId="14" borderId="32" xfId="11" applyNumberFormat="1" applyFont="1" applyFill="1" applyBorder="1" applyAlignment="1">
      <alignment horizontal="center"/>
    </xf>
    <xf numFmtId="44" fontId="38" fillId="0" borderId="34" xfId="11" applyFont="1" applyFill="1" applyBorder="1"/>
    <xf numFmtId="0" fontId="41" fillId="5" borderId="0" xfId="5" applyFont="1" applyFill="1"/>
    <xf numFmtId="0" fontId="42" fillId="0" borderId="0" xfId="5" applyFont="1"/>
    <xf numFmtId="174" fontId="43" fillId="3" borderId="0" xfId="5" applyNumberFormat="1" applyFont="1" applyFill="1"/>
    <xf numFmtId="0" fontId="44" fillId="0" borderId="0" xfId="5" applyFont="1"/>
    <xf numFmtId="2" fontId="43" fillId="3" borderId="0" xfId="5" applyNumberFormat="1" applyFont="1" applyFill="1" applyAlignment="1">
      <alignment horizontal="center"/>
    </xf>
    <xf numFmtId="3" fontId="3" fillId="2" borderId="1" xfId="1" applyNumberFormat="1" applyFont="1" applyFill="1" applyBorder="1" applyAlignment="1">
      <alignment horizontal="center" vertical="top"/>
    </xf>
    <xf numFmtId="0" fontId="17" fillId="5" borderId="0" xfId="0" applyFont="1" applyFill="1"/>
  </cellXfs>
  <cellStyles count="12">
    <cellStyle name="Comma" xfId="1" builtinId="3"/>
    <cellStyle name="Comma 2" xfId="3" xr:uid="{6949B4A1-5F89-41B1-A116-8C58D67576D6}"/>
    <cellStyle name="Comma 3" xfId="7" xr:uid="{0869FBF1-FE17-485B-B03C-9B5C650A1A0C}"/>
    <cellStyle name="Currency" xfId="11" builtinId="4"/>
    <cellStyle name="Normal" xfId="0" builtinId="0"/>
    <cellStyle name="Normal 2" xfId="9" xr:uid="{E9939F58-905E-4E62-B61F-B91CE0BDEC7E}"/>
    <cellStyle name="Normal 3" xfId="4" xr:uid="{EE2EC1D8-ACBF-4ADA-A8F0-E5C2BCB65D37}"/>
    <cellStyle name="Normal 4" xfId="5" xr:uid="{B69DE273-B6F7-4462-9365-F5E9EFD356A6}"/>
    <cellStyle name="Percent" xfId="2" builtinId="5"/>
    <cellStyle name="Percent 2" xfId="6" xr:uid="{B8D36269-1D84-4EE5-B4D4-A6848A688D92}"/>
    <cellStyle name="Percent 3" xfId="8" xr:uid="{C0E127F7-1D14-47CE-92E5-B18B79EC908D}"/>
    <cellStyle name="Percent 4" xfId="10" xr:uid="{52C23DA2-15C2-4603-BAE0-8E7A19F70060}"/>
  </cellStyles>
  <dxfs count="0"/>
  <tableStyles count="1" defaultTableStyle="TableStyleMedium2" defaultPivotStyle="PivotStyleLight16">
    <tableStyle name="Invisible" pivot="0" table="0" count="0" xr9:uid="{AEE7CB01-56BA-4901-B759-A73AAADDDE6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305752</xdr:colOff>
      <xdr:row>5</xdr:row>
      <xdr:rowOff>131445</xdr:rowOff>
    </xdr:from>
    <xdr:to>
      <xdr:col>4</xdr:col>
      <xdr:colOff>952</xdr:colOff>
      <xdr:row>8</xdr:row>
      <xdr:rowOff>97155</xdr:rowOff>
    </xdr:to>
    <xdr:grpSp>
      <xdr:nvGrpSpPr>
        <xdr:cNvPr id="4" name="Group 3">
          <a:extLst>
            <a:ext uri="{FF2B5EF4-FFF2-40B4-BE49-F238E27FC236}">
              <a16:creationId xmlns:a16="http://schemas.microsoft.com/office/drawing/2014/main" id="{BB9C51BF-86BE-456D-A872-087FCA73F863}"/>
            </a:ext>
          </a:extLst>
        </xdr:cNvPr>
        <xdr:cNvGrpSpPr/>
      </xdr:nvGrpSpPr>
      <xdr:grpSpPr>
        <a:xfrm>
          <a:off x="2143517" y="1062729"/>
          <a:ext cx="307788" cy="531084"/>
          <a:chOff x="2149792" y="1043940"/>
          <a:chExt cx="304800" cy="506730"/>
        </a:xfrm>
      </xdr:grpSpPr>
      <xdr:sp macro="" textlink="">
        <xdr:nvSpPr>
          <xdr:cNvPr id="2" name="Oval 1">
            <a:extLst>
              <a:ext uri="{FF2B5EF4-FFF2-40B4-BE49-F238E27FC236}">
                <a16:creationId xmlns:a16="http://schemas.microsoft.com/office/drawing/2014/main" id="{2838532C-15DC-49F6-88C0-1281C7523A24}"/>
              </a:ext>
            </a:extLst>
          </xdr:cNvPr>
          <xdr:cNvSpPr/>
        </xdr:nvSpPr>
        <xdr:spPr>
          <a:xfrm>
            <a:off x="2149792" y="1043940"/>
            <a:ext cx="304800" cy="318135"/>
          </a:xfrm>
          <a:prstGeom prst="ellipse">
            <a:avLst/>
          </a:prstGeom>
          <a:noFill/>
          <a:ln w="381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sp macro="" textlink="">
        <xdr:nvSpPr>
          <xdr:cNvPr id="3" name="Oval 2">
            <a:extLst>
              <a:ext uri="{FF2B5EF4-FFF2-40B4-BE49-F238E27FC236}">
                <a16:creationId xmlns:a16="http://schemas.microsoft.com/office/drawing/2014/main" id="{CE5CE75B-D268-4BA3-942B-BF8E838154C5}"/>
              </a:ext>
            </a:extLst>
          </xdr:cNvPr>
          <xdr:cNvSpPr/>
        </xdr:nvSpPr>
        <xdr:spPr>
          <a:xfrm>
            <a:off x="2149792" y="1236345"/>
            <a:ext cx="304800" cy="314325"/>
          </a:xfrm>
          <a:prstGeom prst="ellipse">
            <a:avLst/>
          </a:prstGeom>
          <a:noFill/>
          <a:ln w="381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grpSp>
    <xdr:clientData/>
  </xdr:twoCellAnchor>
  <xdr:twoCellAnchor>
    <xdr:from>
      <xdr:col>1</xdr:col>
      <xdr:colOff>526732</xdr:colOff>
      <xdr:row>3</xdr:row>
      <xdr:rowOff>15240</xdr:rowOff>
    </xdr:from>
    <xdr:to>
      <xdr:col>5</xdr:col>
      <xdr:colOff>389572</xdr:colOff>
      <xdr:row>3</xdr:row>
      <xdr:rowOff>15240</xdr:rowOff>
    </xdr:to>
    <xdr:cxnSp macro="">
      <xdr:nvCxnSpPr>
        <xdr:cNvPr id="6" name="Straight Connector 5">
          <a:extLst>
            <a:ext uri="{FF2B5EF4-FFF2-40B4-BE49-F238E27FC236}">
              <a16:creationId xmlns:a16="http://schemas.microsoft.com/office/drawing/2014/main" id="{05FCFA08-DD4A-4572-B470-2FB0C1BB25E9}"/>
            </a:ext>
          </a:extLst>
        </xdr:cNvPr>
        <xdr:cNvCxnSpPr/>
      </xdr:nvCxnSpPr>
      <xdr:spPr>
        <a:xfrm flipV="1">
          <a:off x="1136332" y="558165"/>
          <a:ext cx="2301240" cy="0"/>
        </a:xfrm>
        <a:prstGeom prst="line">
          <a:avLst/>
        </a:prstGeom>
        <a:ln w="381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449103</xdr:colOff>
      <xdr:row>3</xdr:row>
      <xdr:rowOff>19050</xdr:rowOff>
    </xdr:from>
    <xdr:to>
      <xdr:col>3</xdr:col>
      <xdr:colOff>449103</xdr:colOff>
      <xdr:row>5</xdr:row>
      <xdr:rowOff>131445</xdr:rowOff>
    </xdr:to>
    <xdr:cxnSp macro="">
      <xdr:nvCxnSpPr>
        <xdr:cNvPr id="9" name="Straight Connector 8">
          <a:extLst>
            <a:ext uri="{FF2B5EF4-FFF2-40B4-BE49-F238E27FC236}">
              <a16:creationId xmlns:a16="http://schemas.microsoft.com/office/drawing/2014/main" id="{F68864EE-E3D0-4708-974B-037BB71C50DB}"/>
            </a:ext>
          </a:extLst>
        </xdr:cNvPr>
        <xdr:cNvCxnSpPr/>
      </xdr:nvCxnSpPr>
      <xdr:spPr>
        <a:xfrm flipH="1">
          <a:off x="2277903" y="561975"/>
          <a:ext cx="0" cy="47434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458152</xdr:colOff>
      <xdr:row>8</xdr:row>
      <xdr:rowOff>87630</xdr:rowOff>
    </xdr:from>
    <xdr:to>
      <xdr:col>3</xdr:col>
      <xdr:colOff>458152</xdr:colOff>
      <xdr:row>11</xdr:row>
      <xdr:rowOff>20955</xdr:rowOff>
    </xdr:to>
    <xdr:cxnSp macro="">
      <xdr:nvCxnSpPr>
        <xdr:cNvPr id="11" name="Straight Connector 10">
          <a:extLst>
            <a:ext uri="{FF2B5EF4-FFF2-40B4-BE49-F238E27FC236}">
              <a16:creationId xmlns:a16="http://schemas.microsoft.com/office/drawing/2014/main" id="{FBB8DCAD-1147-4041-B771-A5E5354D7A3D}"/>
            </a:ext>
          </a:extLst>
        </xdr:cNvPr>
        <xdr:cNvCxnSpPr/>
      </xdr:nvCxnSpPr>
      <xdr:spPr>
        <a:xfrm>
          <a:off x="2286952" y="1535430"/>
          <a:ext cx="0" cy="476250"/>
        </a:xfrm>
        <a:prstGeom prst="line">
          <a:avLst/>
        </a:prstGeom>
        <a:ln>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513397</xdr:colOff>
      <xdr:row>10</xdr:row>
      <xdr:rowOff>19050</xdr:rowOff>
    </xdr:from>
    <xdr:to>
      <xdr:col>5</xdr:col>
      <xdr:colOff>397192</xdr:colOff>
      <xdr:row>10</xdr:row>
      <xdr:rowOff>19050</xdr:rowOff>
    </xdr:to>
    <xdr:cxnSp macro="">
      <xdr:nvCxnSpPr>
        <xdr:cNvPr id="12" name="Straight Connector 11">
          <a:extLst>
            <a:ext uri="{FF2B5EF4-FFF2-40B4-BE49-F238E27FC236}">
              <a16:creationId xmlns:a16="http://schemas.microsoft.com/office/drawing/2014/main" id="{613F1A9A-A21A-4B32-A7A6-42DDFFD18A8F}"/>
            </a:ext>
          </a:extLst>
        </xdr:cNvPr>
        <xdr:cNvCxnSpPr/>
      </xdr:nvCxnSpPr>
      <xdr:spPr>
        <a:xfrm flipV="1">
          <a:off x="1122997" y="1828800"/>
          <a:ext cx="2322195" cy="0"/>
        </a:xfrm>
        <a:prstGeom prst="line">
          <a:avLst/>
        </a:prstGeom>
        <a:ln w="3810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294322</xdr:colOff>
      <xdr:row>13</xdr:row>
      <xdr:rowOff>121920</xdr:rowOff>
    </xdr:from>
    <xdr:to>
      <xdr:col>3</xdr:col>
      <xdr:colOff>599122</xdr:colOff>
      <xdr:row>16</xdr:row>
      <xdr:rowOff>87630</xdr:rowOff>
    </xdr:to>
    <xdr:grpSp>
      <xdr:nvGrpSpPr>
        <xdr:cNvPr id="13" name="Group 12">
          <a:extLst>
            <a:ext uri="{FF2B5EF4-FFF2-40B4-BE49-F238E27FC236}">
              <a16:creationId xmlns:a16="http://schemas.microsoft.com/office/drawing/2014/main" id="{1172BD9F-7A76-40D9-97FE-D0C2C17DBF92}"/>
            </a:ext>
          </a:extLst>
        </xdr:cNvPr>
        <xdr:cNvGrpSpPr/>
      </xdr:nvGrpSpPr>
      <xdr:grpSpPr>
        <a:xfrm>
          <a:off x="2133357" y="2548591"/>
          <a:ext cx="304800" cy="524734"/>
          <a:chOff x="2149792" y="1043940"/>
          <a:chExt cx="304800" cy="506730"/>
        </a:xfrm>
      </xdr:grpSpPr>
      <xdr:sp macro="" textlink="">
        <xdr:nvSpPr>
          <xdr:cNvPr id="14" name="Oval 13">
            <a:extLst>
              <a:ext uri="{FF2B5EF4-FFF2-40B4-BE49-F238E27FC236}">
                <a16:creationId xmlns:a16="http://schemas.microsoft.com/office/drawing/2014/main" id="{ED846926-2345-4EE5-88ED-4B3358407B50}"/>
              </a:ext>
            </a:extLst>
          </xdr:cNvPr>
          <xdr:cNvSpPr/>
        </xdr:nvSpPr>
        <xdr:spPr>
          <a:xfrm>
            <a:off x="2149792" y="1043940"/>
            <a:ext cx="304800" cy="318135"/>
          </a:xfrm>
          <a:prstGeom prst="ellipse">
            <a:avLst/>
          </a:prstGeom>
          <a:noFill/>
          <a:ln w="381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sp macro="" textlink="">
        <xdr:nvSpPr>
          <xdr:cNvPr id="15" name="Oval 14">
            <a:extLst>
              <a:ext uri="{FF2B5EF4-FFF2-40B4-BE49-F238E27FC236}">
                <a16:creationId xmlns:a16="http://schemas.microsoft.com/office/drawing/2014/main" id="{330CA85C-5EB5-481D-8E44-0F9BD3B5D1F7}"/>
              </a:ext>
            </a:extLst>
          </xdr:cNvPr>
          <xdr:cNvSpPr/>
        </xdr:nvSpPr>
        <xdr:spPr>
          <a:xfrm>
            <a:off x="2149792" y="1236345"/>
            <a:ext cx="304800" cy="314325"/>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grpSp>
    <xdr:clientData/>
  </xdr:twoCellAnchor>
  <xdr:twoCellAnchor>
    <xdr:from>
      <xdr:col>3</xdr:col>
      <xdr:colOff>456723</xdr:colOff>
      <xdr:row>10</xdr:row>
      <xdr:rowOff>19050</xdr:rowOff>
    </xdr:from>
    <xdr:to>
      <xdr:col>3</xdr:col>
      <xdr:colOff>456723</xdr:colOff>
      <xdr:row>13</xdr:row>
      <xdr:rowOff>125730</xdr:rowOff>
    </xdr:to>
    <xdr:cxnSp macro="">
      <xdr:nvCxnSpPr>
        <xdr:cNvPr id="17" name="Straight Connector 16">
          <a:extLst>
            <a:ext uri="{FF2B5EF4-FFF2-40B4-BE49-F238E27FC236}">
              <a16:creationId xmlns:a16="http://schemas.microsoft.com/office/drawing/2014/main" id="{ACF1DCC9-8E02-4969-9686-61E7C812DB8B}"/>
            </a:ext>
          </a:extLst>
        </xdr:cNvPr>
        <xdr:cNvCxnSpPr/>
      </xdr:nvCxnSpPr>
      <xdr:spPr>
        <a:xfrm>
          <a:off x="2285523" y="1847850"/>
          <a:ext cx="0" cy="655320"/>
        </a:xfrm>
        <a:prstGeom prst="line">
          <a:avLst/>
        </a:prstGeom>
        <a:ln>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446722</xdr:colOff>
      <xdr:row>16</xdr:row>
      <xdr:rowOff>85725</xdr:rowOff>
    </xdr:from>
    <xdr:to>
      <xdr:col>3</xdr:col>
      <xdr:colOff>446722</xdr:colOff>
      <xdr:row>19</xdr:row>
      <xdr:rowOff>11430</xdr:rowOff>
    </xdr:to>
    <xdr:cxnSp macro="">
      <xdr:nvCxnSpPr>
        <xdr:cNvPr id="18" name="Straight Connector 17">
          <a:extLst>
            <a:ext uri="{FF2B5EF4-FFF2-40B4-BE49-F238E27FC236}">
              <a16:creationId xmlns:a16="http://schemas.microsoft.com/office/drawing/2014/main" id="{990B2959-8CDA-4EF6-B7AD-445689B636BC}"/>
            </a:ext>
          </a:extLst>
        </xdr:cNvPr>
        <xdr:cNvCxnSpPr/>
      </xdr:nvCxnSpPr>
      <xdr:spPr>
        <a:xfrm>
          <a:off x="2275522" y="3011805"/>
          <a:ext cx="0" cy="474345"/>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536257</xdr:colOff>
      <xdr:row>19</xdr:row>
      <xdr:rowOff>9525</xdr:rowOff>
    </xdr:from>
    <xdr:to>
      <xdr:col>5</xdr:col>
      <xdr:colOff>402907</xdr:colOff>
      <xdr:row>19</xdr:row>
      <xdr:rowOff>9525</xdr:rowOff>
    </xdr:to>
    <xdr:cxnSp macro="">
      <xdr:nvCxnSpPr>
        <xdr:cNvPr id="19" name="Straight Connector 18">
          <a:extLst>
            <a:ext uri="{FF2B5EF4-FFF2-40B4-BE49-F238E27FC236}">
              <a16:creationId xmlns:a16="http://schemas.microsoft.com/office/drawing/2014/main" id="{4CCDE247-0897-48F2-8D6D-1F32EED67EED}"/>
            </a:ext>
          </a:extLst>
        </xdr:cNvPr>
        <xdr:cNvCxnSpPr/>
      </xdr:nvCxnSpPr>
      <xdr:spPr>
        <a:xfrm flipV="1">
          <a:off x="1145857" y="3448050"/>
          <a:ext cx="2305050" cy="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230505</xdr:colOff>
      <xdr:row>21</xdr:row>
      <xdr:rowOff>34290</xdr:rowOff>
    </xdr:from>
    <xdr:to>
      <xdr:col>2</xdr:col>
      <xdr:colOff>398145</xdr:colOff>
      <xdr:row>21</xdr:row>
      <xdr:rowOff>177165</xdr:rowOff>
    </xdr:to>
    <xdr:sp macro="" textlink="">
      <xdr:nvSpPr>
        <xdr:cNvPr id="22" name="Rectangle 21">
          <a:extLst>
            <a:ext uri="{FF2B5EF4-FFF2-40B4-BE49-F238E27FC236}">
              <a16:creationId xmlns:a16="http://schemas.microsoft.com/office/drawing/2014/main" id="{4E5B7409-A6F5-45DE-A1A7-772AC52EFE12}"/>
            </a:ext>
          </a:extLst>
        </xdr:cNvPr>
        <xdr:cNvSpPr/>
      </xdr:nvSpPr>
      <xdr:spPr>
        <a:xfrm>
          <a:off x="1449705" y="3834765"/>
          <a:ext cx="167640" cy="142875"/>
        </a:xfrm>
        <a:prstGeom prst="rect">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xdr:from>
      <xdr:col>2</xdr:col>
      <xdr:colOff>228600</xdr:colOff>
      <xdr:row>23</xdr:row>
      <xdr:rowOff>144780</xdr:rowOff>
    </xdr:from>
    <xdr:to>
      <xdr:col>2</xdr:col>
      <xdr:colOff>400050</xdr:colOff>
      <xdr:row>24</xdr:row>
      <xdr:rowOff>106680</xdr:rowOff>
    </xdr:to>
    <xdr:sp macro="" textlink="">
      <xdr:nvSpPr>
        <xdr:cNvPr id="23" name="Rectangle 22">
          <a:extLst>
            <a:ext uri="{FF2B5EF4-FFF2-40B4-BE49-F238E27FC236}">
              <a16:creationId xmlns:a16="http://schemas.microsoft.com/office/drawing/2014/main" id="{84118CB4-7131-4C23-9EF8-0AAE42D83CE3}"/>
            </a:ext>
          </a:extLst>
        </xdr:cNvPr>
        <xdr:cNvSpPr/>
      </xdr:nvSpPr>
      <xdr:spPr>
        <a:xfrm>
          <a:off x="1447800" y="4307205"/>
          <a:ext cx="171450" cy="142875"/>
        </a:xfrm>
        <a:prstGeom prst="rect">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xdr:from>
      <xdr:col>2</xdr:col>
      <xdr:colOff>227648</xdr:colOff>
      <xdr:row>26</xdr:row>
      <xdr:rowOff>100965</xdr:rowOff>
    </xdr:from>
    <xdr:to>
      <xdr:col>2</xdr:col>
      <xdr:colOff>401003</xdr:colOff>
      <xdr:row>27</xdr:row>
      <xdr:rowOff>59055</xdr:rowOff>
    </xdr:to>
    <xdr:sp macro="" textlink="">
      <xdr:nvSpPr>
        <xdr:cNvPr id="24" name="Rectangle 23">
          <a:extLst>
            <a:ext uri="{FF2B5EF4-FFF2-40B4-BE49-F238E27FC236}">
              <a16:creationId xmlns:a16="http://schemas.microsoft.com/office/drawing/2014/main" id="{A56B2E44-DB09-49F2-9011-994296DAE511}"/>
            </a:ext>
          </a:extLst>
        </xdr:cNvPr>
        <xdr:cNvSpPr/>
      </xdr:nvSpPr>
      <xdr:spPr>
        <a:xfrm>
          <a:off x="1446848" y="4806315"/>
          <a:ext cx="173355" cy="139065"/>
        </a:xfrm>
        <a:prstGeom prst="rect">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xdr:from>
      <xdr:col>5</xdr:col>
      <xdr:colOff>53340</xdr:colOff>
      <xdr:row>10</xdr:row>
      <xdr:rowOff>19050</xdr:rowOff>
    </xdr:from>
    <xdr:to>
      <xdr:col>8</xdr:col>
      <xdr:colOff>131445</xdr:colOff>
      <xdr:row>11</xdr:row>
      <xdr:rowOff>95250</xdr:rowOff>
    </xdr:to>
    <xdr:cxnSp macro="">
      <xdr:nvCxnSpPr>
        <xdr:cNvPr id="26" name="Connector: Elbow 25">
          <a:extLst>
            <a:ext uri="{FF2B5EF4-FFF2-40B4-BE49-F238E27FC236}">
              <a16:creationId xmlns:a16="http://schemas.microsoft.com/office/drawing/2014/main" id="{2ED728B7-AF10-4537-97EC-29E5477408AE}"/>
            </a:ext>
          </a:extLst>
        </xdr:cNvPr>
        <xdr:cNvCxnSpPr/>
      </xdr:nvCxnSpPr>
      <xdr:spPr>
        <a:xfrm>
          <a:off x="3101340" y="1828800"/>
          <a:ext cx="1906905" cy="257175"/>
        </a:xfrm>
        <a:prstGeom prst="bentConnector3">
          <a:avLst>
            <a:gd name="adj1" fmla="val -2291"/>
          </a:avLst>
        </a:prstGeom>
        <a:ln>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130492</xdr:colOff>
      <xdr:row>11</xdr:row>
      <xdr:rowOff>91440</xdr:rowOff>
    </xdr:from>
    <xdr:to>
      <xdr:col>8</xdr:col>
      <xdr:colOff>134302</xdr:colOff>
      <xdr:row>13</xdr:row>
      <xdr:rowOff>125730</xdr:rowOff>
    </xdr:to>
    <xdr:cxnSp macro="">
      <xdr:nvCxnSpPr>
        <xdr:cNvPr id="31" name="Straight Connector 30">
          <a:extLst>
            <a:ext uri="{FF2B5EF4-FFF2-40B4-BE49-F238E27FC236}">
              <a16:creationId xmlns:a16="http://schemas.microsoft.com/office/drawing/2014/main" id="{42C14990-D1A4-4300-A582-6D65DAC070C2}"/>
            </a:ext>
          </a:extLst>
        </xdr:cNvPr>
        <xdr:cNvCxnSpPr>
          <a:endCxn id="33" idx="0"/>
        </xdr:cNvCxnSpPr>
      </xdr:nvCxnSpPr>
      <xdr:spPr>
        <a:xfrm>
          <a:off x="5007292" y="2082165"/>
          <a:ext cx="3810" cy="396240"/>
        </a:xfrm>
        <a:prstGeom prst="line">
          <a:avLst/>
        </a:prstGeom>
        <a:ln>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587692</xdr:colOff>
      <xdr:row>13</xdr:row>
      <xdr:rowOff>123825</xdr:rowOff>
    </xdr:from>
    <xdr:to>
      <xdr:col>8</xdr:col>
      <xdr:colOff>282892</xdr:colOff>
      <xdr:row>16</xdr:row>
      <xdr:rowOff>120015</xdr:rowOff>
    </xdr:to>
    <xdr:grpSp>
      <xdr:nvGrpSpPr>
        <xdr:cNvPr id="32" name="Group 31">
          <a:extLst>
            <a:ext uri="{FF2B5EF4-FFF2-40B4-BE49-F238E27FC236}">
              <a16:creationId xmlns:a16="http://schemas.microsoft.com/office/drawing/2014/main" id="{CD712E89-3211-4EC3-AD99-12A8DC59CD57}"/>
            </a:ext>
          </a:extLst>
        </xdr:cNvPr>
        <xdr:cNvGrpSpPr/>
      </xdr:nvGrpSpPr>
      <xdr:grpSpPr>
        <a:xfrm>
          <a:off x="4873270" y="2550496"/>
          <a:ext cx="307788" cy="556484"/>
          <a:chOff x="2149792" y="1043940"/>
          <a:chExt cx="304800" cy="506730"/>
        </a:xfrm>
      </xdr:grpSpPr>
      <xdr:sp macro="" textlink="">
        <xdr:nvSpPr>
          <xdr:cNvPr id="33" name="Oval 32">
            <a:extLst>
              <a:ext uri="{FF2B5EF4-FFF2-40B4-BE49-F238E27FC236}">
                <a16:creationId xmlns:a16="http://schemas.microsoft.com/office/drawing/2014/main" id="{2E6D9CE3-D867-4D94-92EE-99AAA43EA2C0}"/>
              </a:ext>
            </a:extLst>
          </xdr:cNvPr>
          <xdr:cNvSpPr/>
        </xdr:nvSpPr>
        <xdr:spPr>
          <a:xfrm>
            <a:off x="2149792" y="1043940"/>
            <a:ext cx="304800" cy="318135"/>
          </a:xfrm>
          <a:prstGeom prst="ellipse">
            <a:avLst/>
          </a:prstGeom>
          <a:noFill/>
          <a:ln w="381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sp macro="" textlink="">
        <xdr:nvSpPr>
          <xdr:cNvPr id="34" name="Oval 33">
            <a:extLst>
              <a:ext uri="{FF2B5EF4-FFF2-40B4-BE49-F238E27FC236}">
                <a16:creationId xmlns:a16="http://schemas.microsoft.com/office/drawing/2014/main" id="{A308D49C-0639-4B1C-9B54-79F726108353}"/>
              </a:ext>
            </a:extLst>
          </xdr:cNvPr>
          <xdr:cNvSpPr/>
        </xdr:nvSpPr>
        <xdr:spPr>
          <a:xfrm>
            <a:off x="2149792" y="1236345"/>
            <a:ext cx="304800" cy="314325"/>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grpSp>
    <xdr:clientData/>
  </xdr:twoCellAnchor>
  <xdr:twoCellAnchor>
    <xdr:from>
      <xdr:col>2</xdr:col>
      <xdr:colOff>304800</xdr:colOff>
      <xdr:row>19</xdr:row>
      <xdr:rowOff>20955</xdr:rowOff>
    </xdr:from>
    <xdr:to>
      <xdr:col>2</xdr:col>
      <xdr:colOff>304800</xdr:colOff>
      <xdr:row>27</xdr:row>
      <xdr:rowOff>55245</xdr:rowOff>
    </xdr:to>
    <xdr:cxnSp macro="">
      <xdr:nvCxnSpPr>
        <xdr:cNvPr id="35" name="Straight Connector 34">
          <a:extLst>
            <a:ext uri="{FF2B5EF4-FFF2-40B4-BE49-F238E27FC236}">
              <a16:creationId xmlns:a16="http://schemas.microsoft.com/office/drawing/2014/main" id="{8B3E5AF0-2324-478F-AF8A-FC72FA187F37}"/>
            </a:ext>
          </a:extLst>
        </xdr:cNvPr>
        <xdr:cNvCxnSpPr/>
      </xdr:nvCxnSpPr>
      <xdr:spPr>
        <a:xfrm flipH="1">
          <a:off x="1524000" y="3459480"/>
          <a:ext cx="0" cy="148209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115252</xdr:colOff>
      <xdr:row>18</xdr:row>
      <xdr:rowOff>169545</xdr:rowOff>
    </xdr:from>
    <xdr:to>
      <xdr:col>8</xdr:col>
      <xdr:colOff>115252</xdr:colOff>
      <xdr:row>27</xdr:row>
      <xdr:rowOff>5715</xdr:rowOff>
    </xdr:to>
    <xdr:cxnSp macro="">
      <xdr:nvCxnSpPr>
        <xdr:cNvPr id="36" name="Straight Connector 35">
          <a:extLst>
            <a:ext uri="{FF2B5EF4-FFF2-40B4-BE49-F238E27FC236}">
              <a16:creationId xmlns:a16="http://schemas.microsoft.com/office/drawing/2014/main" id="{7DD7751F-04C2-40A2-8950-82B6196F6BFB}"/>
            </a:ext>
          </a:extLst>
        </xdr:cNvPr>
        <xdr:cNvCxnSpPr/>
      </xdr:nvCxnSpPr>
      <xdr:spPr>
        <a:xfrm flipH="1">
          <a:off x="4992052" y="3427095"/>
          <a:ext cx="0" cy="1464945"/>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35631</xdr:colOff>
      <xdr:row>20</xdr:row>
      <xdr:rowOff>1905</xdr:rowOff>
    </xdr:from>
    <xdr:to>
      <xdr:col>8</xdr:col>
      <xdr:colOff>186831</xdr:colOff>
      <xdr:row>20</xdr:row>
      <xdr:rowOff>171450</xdr:rowOff>
    </xdr:to>
    <xdr:sp macro="" textlink="">
      <xdr:nvSpPr>
        <xdr:cNvPr id="37" name="Oval 36">
          <a:extLst>
            <a:ext uri="{FF2B5EF4-FFF2-40B4-BE49-F238E27FC236}">
              <a16:creationId xmlns:a16="http://schemas.microsoft.com/office/drawing/2014/main" id="{2082B9F6-F959-40BE-B339-7D6DAB034013}"/>
            </a:ext>
          </a:extLst>
        </xdr:cNvPr>
        <xdr:cNvSpPr/>
      </xdr:nvSpPr>
      <xdr:spPr>
        <a:xfrm>
          <a:off x="4912431" y="3621405"/>
          <a:ext cx="151200" cy="169545"/>
        </a:xfrm>
        <a:prstGeom prst="ellipse">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xdr:from>
      <xdr:col>8</xdr:col>
      <xdr:colOff>39441</xdr:colOff>
      <xdr:row>22</xdr:row>
      <xdr:rowOff>34290</xdr:rowOff>
    </xdr:from>
    <xdr:to>
      <xdr:col>8</xdr:col>
      <xdr:colOff>190641</xdr:colOff>
      <xdr:row>22</xdr:row>
      <xdr:rowOff>177165</xdr:rowOff>
    </xdr:to>
    <xdr:sp macro="" textlink="">
      <xdr:nvSpPr>
        <xdr:cNvPr id="38" name="Oval 37">
          <a:extLst>
            <a:ext uri="{FF2B5EF4-FFF2-40B4-BE49-F238E27FC236}">
              <a16:creationId xmlns:a16="http://schemas.microsoft.com/office/drawing/2014/main" id="{19256991-AD94-466F-83B1-3D0942E7DB42}"/>
            </a:ext>
          </a:extLst>
        </xdr:cNvPr>
        <xdr:cNvSpPr/>
      </xdr:nvSpPr>
      <xdr:spPr>
        <a:xfrm>
          <a:off x="4916241" y="4015740"/>
          <a:ext cx="151200" cy="142875"/>
        </a:xfrm>
        <a:prstGeom prst="ellipse">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xdr:from>
      <xdr:col>8</xdr:col>
      <xdr:colOff>37536</xdr:colOff>
      <xdr:row>24</xdr:row>
      <xdr:rowOff>34290</xdr:rowOff>
    </xdr:from>
    <xdr:to>
      <xdr:col>8</xdr:col>
      <xdr:colOff>188736</xdr:colOff>
      <xdr:row>24</xdr:row>
      <xdr:rowOff>171450</xdr:rowOff>
    </xdr:to>
    <xdr:sp macro="" textlink="">
      <xdr:nvSpPr>
        <xdr:cNvPr id="39" name="Oval 38">
          <a:extLst>
            <a:ext uri="{FF2B5EF4-FFF2-40B4-BE49-F238E27FC236}">
              <a16:creationId xmlns:a16="http://schemas.microsoft.com/office/drawing/2014/main" id="{B4AB6B3D-E200-4FE1-829F-FE0E51A47609}"/>
            </a:ext>
          </a:extLst>
        </xdr:cNvPr>
        <xdr:cNvSpPr/>
      </xdr:nvSpPr>
      <xdr:spPr>
        <a:xfrm>
          <a:off x="4914336" y="4377690"/>
          <a:ext cx="151200" cy="137160"/>
        </a:xfrm>
        <a:prstGeom prst="ellipse">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xdr:from>
      <xdr:col>8</xdr:col>
      <xdr:colOff>35631</xdr:colOff>
      <xdr:row>26</xdr:row>
      <xdr:rowOff>64770</xdr:rowOff>
    </xdr:from>
    <xdr:to>
      <xdr:col>8</xdr:col>
      <xdr:colOff>186831</xdr:colOff>
      <xdr:row>27</xdr:row>
      <xdr:rowOff>34290</xdr:rowOff>
    </xdr:to>
    <xdr:sp macro="" textlink="">
      <xdr:nvSpPr>
        <xdr:cNvPr id="40" name="Oval 39">
          <a:extLst>
            <a:ext uri="{FF2B5EF4-FFF2-40B4-BE49-F238E27FC236}">
              <a16:creationId xmlns:a16="http://schemas.microsoft.com/office/drawing/2014/main" id="{12759C19-5ABF-4FBF-AD88-63DA45ABEE7D}"/>
            </a:ext>
          </a:extLst>
        </xdr:cNvPr>
        <xdr:cNvSpPr/>
      </xdr:nvSpPr>
      <xdr:spPr>
        <a:xfrm>
          <a:off x="4912431" y="4770120"/>
          <a:ext cx="151200" cy="150495"/>
        </a:xfrm>
        <a:prstGeom prst="ellipse">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xdr:from>
      <xdr:col>7</xdr:col>
      <xdr:colOff>421957</xdr:colOff>
      <xdr:row>18</xdr:row>
      <xdr:rowOff>167640</xdr:rowOff>
    </xdr:from>
    <xdr:to>
      <xdr:col>8</xdr:col>
      <xdr:colOff>445770</xdr:colOff>
      <xdr:row>18</xdr:row>
      <xdr:rowOff>167640</xdr:rowOff>
    </xdr:to>
    <xdr:cxnSp macro="">
      <xdr:nvCxnSpPr>
        <xdr:cNvPr id="45" name="Straight Connector 44">
          <a:extLst>
            <a:ext uri="{FF2B5EF4-FFF2-40B4-BE49-F238E27FC236}">
              <a16:creationId xmlns:a16="http://schemas.microsoft.com/office/drawing/2014/main" id="{96A303DF-4F68-4AD7-81F2-5C1FFA3F92B3}"/>
            </a:ext>
          </a:extLst>
        </xdr:cNvPr>
        <xdr:cNvCxnSpPr/>
      </xdr:nvCxnSpPr>
      <xdr:spPr>
        <a:xfrm flipV="1">
          <a:off x="4689157" y="3425190"/>
          <a:ext cx="633413" cy="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111442</xdr:colOff>
      <xdr:row>16</xdr:row>
      <xdr:rowOff>129540</xdr:rowOff>
    </xdr:from>
    <xdr:to>
      <xdr:col>8</xdr:col>
      <xdr:colOff>111442</xdr:colOff>
      <xdr:row>19</xdr:row>
      <xdr:rowOff>15240</xdr:rowOff>
    </xdr:to>
    <xdr:cxnSp macro="">
      <xdr:nvCxnSpPr>
        <xdr:cNvPr id="47" name="Straight Connector 46">
          <a:extLst>
            <a:ext uri="{FF2B5EF4-FFF2-40B4-BE49-F238E27FC236}">
              <a16:creationId xmlns:a16="http://schemas.microsoft.com/office/drawing/2014/main" id="{1CFAD967-746B-4703-93AB-2EE375AC798E}"/>
            </a:ext>
          </a:extLst>
        </xdr:cNvPr>
        <xdr:cNvCxnSpPr/>
      </xdr:nvCxnSpPr>
      <xdr:spPr>
        <a:xfrm>
          <a:off x="4988242" y="3025140"/>
          <a:ext cx="0" cy="428625"/>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459105</xdr:colOff>
      <xdr:row>1</xdr:row>
      <xdr:rowOff>114300</xdr:rowOff>
    </xdr:from>
    <xdr:ext cx="573940" cy="264560"/>
    <xdr:sp macro="" textlink="">
      <xdr:nvSpPr>
        <xdr:cNvPr id="49" name="TextBox 48">
          <a:extLst>
            <a:ext uri="{FF2B5EF4-FFF2-40B4-BE49-F238E27FC236}">
              <a16:creationId xmlns:a16="http://schemas.microsoft.com/office/drawing/2014/main" id="{4EE13E6C-82FC-419B-ACB2-133AA0300FE4}"/>
            </a:ext>
          </a:extLst>
        </xdr:cNvPr>
        <xdr:cNvSpPr txBox="1"/>
      </xdr:nvSpPr>
      <xdr:spPr>
        <a:xfrm>
          <a:off x="1068705" y="295275"/>
          <a:ext cx="57394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ZA" sz="1100"/>
            <a:t>≥44 </a:t>
          </a:r>
          <a:r>
            <a:rPr lang="en-ZA" sz="1100" baseline="0"/>
            <a:t>kV</a:t>
          </a:r>
          <a:endParaRPr lang="en-ZA" sz="1100"/>
        </a:p>
      </xdr:txBody>
    </xdr:sp>
    <xdr:clientData/>
  </xdr:oneCellAnchor>
  <xdr:oneCellAnchor>
    <xdr:from>
      <xdr:col>1</xdr:col>
      <xdr:colOff>459105</xdr:colOff>
      <xdr:row>8</xdr:row>
      <xdr:rowOff>129540</xdr:rowOff>
    </xdr:from>
    <xdr:ext cx="1177117" cy="264560"/>
    <xdr:sp macro="" textlink="">
      <xdr:nvSpPr>
        <xdr:cNvPr id="50" name="TextBox 49">
          <a:extLst>
            <a:ext uri="{FF2B5EF4-FFF2-40B4-BE49-F238E27FC236}">
              <a16:creationId xmlns:a16="http://schemas.microsoft.com/office/drawing/2014/main" id="{2B55553A-CAC3-4967-A185-307E9E5FE0EE}"/>
            </a:ext>
          </a:extLst>
        </xdr:cNvPr>
        <xdr:cNvSpPr txBox="1"/>
      </xdr:nvSpPr>
      <xdr:spPr>
        <a:xfrm>
          <a:off x="1068705" y="1577340"/>
          <a:ext cx="117711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ZA" sz="1100"/>
            <a:t>6.6; 11;</a:t>
          </a:r>
          <a:r>
            <a:rPr lang="en-ZA" sz="1100" baseline="0"/>
            <a:t> 22; 33 kV</a:t>
          </a:r>
          <a:endParaRPr lang="en-ZA" sz="1100"/>
        </a:p>
      </xdr:txBody>
    </xdr:sp>
    <xdr:clientData/>
  </xdr:oneCellAnchor>
  <xdr:oneCellAnchor>
    <xdr:from>
      <xdr:col>1</xdr:col>
      <xdr:colOff>457200</xdr:colOff>
      <xdr:row>17</xdr:row>
      <xdr:rowOff>95250</xdr:rowOff>
    </xdr:from>
    <xdr:ext cx="479170" cy="264560"/>
    <xdr:sp macro="" textlink="">
      <xdr:nvSpPr>
        <xdr:cNvPr id="51" name="TextBox 50">
          <a:extLst>
            <a:ext uri="{FF2B5EF4-FFF2-40B4-BE49-F238E27FC236}">
              <a16:creationId xmlns:a16="http://schemas.microsoft.com/office/drawing/2014/main" id="{5CFFA749-6CEF-4FD2-9D07-88B5255980C0}"/>
            </a:ext>
          </a:extLst>
        </xdr:cNvPr>
        <xdr:cNvSpPr txBox="1"/>
      </xdr:nvSpPr>
      <xdr:spPr>
        <a:xfrm>
          <a:off x="1066800" y="3171825"/>
          <a:ext cx="4791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ZA" sz="1100"/>
            <a:t>400V</a:t>
          </a:r>
        </a:p>
      </xdr:txBody>
    </xdr:sp>
    <xdr:clientData/>
  </xdr:oneCellAnchor>
  <xdr:oneCellAnchor>
    <xdr:from>
      <xdr:col>8</xdr:col>
      <xdr:colOff>152400</xdr:colOff>
      <xdr:row>17</xdr:row>
      <xdr:rowOff>110490</xdr:rowOff>
    </xdr:from>
    <xdr:ext cx="479170" cy="264560"/>
    <xdr:sp macro="" textlink="">
      <xdr:nvSpPr>
        <xdr:cNvPr id="52" name="TextBox 51">
          <a:extLst>
            <a:ext uri="{FF2B5EF4-FFF2-40B4-BE49-F238E27FC236}">
              <a16:creationId xmlns:a16="http://schemas.microsoft.com/office/drawing/2014/main" id="{5ADD0AFD-F15D-4A9F-9664-1F79F454A4C7}"/>
            </a:ext>
          </a:extLst>
        </xdr:cNvPr>
        <xdr:cNvSpPr txBox="1"/>
      </xdr:nvSpPr>
      <xdr:spPr>
        <a:xfrm>
          <a:off x="5029200" y="3187065"/>
          <a:ext cx="4791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ZA" sz="1100"/>
            <a:t>400V</a:t>
          </a:r>
        </a:p>
      </xdr:txBody>
    </xdr:sp>
    <xdr:clientData/>
  </xdr:oneCellAnchor>
  <xdr:oneCellAnchor>
    <xdr:from>
      <xdr:col>2</xdr:col>
      <xdr:colOff>434340</xdr:colOff>
      <xdr:row>20</xdr:row>
      <xdr:rowOff>160020</xdr:rowOff>
    </xdr:from>
    <xdr:ext cx="804964" cy="264560"/>
    <xdr:sp macro="" textlink="">
      <xdr:nvSpPr>
        <xdr:cNvPr id="53" name="TextBox 52">
          <a:extLst>
            <a:ext uri="{FF2B5EF4-FFF2-40B4-BE49-F238E27FC236}">
              <a16:creationId xmlns:a16="http://schemas.microsoft.com/office/drawing/2014/main" id="{31BA00BF-2D3C-47F5-B564-C9E163564F60}"/>
            </a:ext>
          </a:extLst>
        </xdr:cNvPr>
        <xdr:cNvSpPr txBox="1"/>
      </xdr:nvSpPr>
      <xdr:spPr>
        <a:xfrm>
          <a:off x="1653540" y="3779520"/>
          <a:ext cx="8049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ZA" sz="1100"/>
            <a:t>U/g feeder</a:t>
          </a:r>
        </a:p>
      </xdr:txBody>
    </xdr:sp>
    <xdr:clientData/>
  </xdr:oneCellAnchor>
  <xdr:oneCellAnchor>
    <xdr:from>
      <xdr:col>8</xdr:col>
      <xdr:colOff>186690</xdr:colOff>
      <xdr:row>21</xdr:row>
      <xdr:rowOff>171450</xdr:rowOff>
    </xdr:from>
    <xdr:ext cx="815544" cy="264560"/>
    <xdr:sp macro="" textlink="">
      <xdr:nvSpPr>
        <xdr:cNvPr id="54" name="TextBox 53">
          <a:extLst>
            <a:ext uri="{FF2B5EF4-FFF2-40B4-BE49-F238E27FC236}">
              <a16:creationId xmlns:a16="http://schemas.microsoft.com/office/drawing/2014/main" id="{33E162AF-B8F5-4627-8645-4CCAB95F4734}"/>
            </a:ext>
          </a:extLst>
        </xdr:cNvPr>
        <xdr:cNvSpPr txBox="1"/>
      </xdr:nvSpPr>
      <xdr:spPr>
        <a:xfrm>
          <a:off x="5063490" y="3971925"/>
          <a:ext cx="81554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ZA" sz="1100"/>
            <a:t>O/h feeder</a:t>
          </a:r>
        </a:p>
      </xdr:txBody>
    </xdr:sp>
    <xdr:clientData/>
  </xdr:oneCellAnchor>
  <xdr:twoCellAnchor>
    <xdr:from>
      <xdr:col>5</xdr:col>
      <xdr:colOff>15240</xdr:colOff>
      <xdr:row>3</xdr:row>
      <xdr:rowOff>11430</xdr:rowOff>
    </xdr:from>
    <xdr:to>
      <xdr:col>5</xdr:col>
      <xdr:colOff>131445</xdr:colOff>
      <xdr:row>4</xdr:row>
      <xdr:rowOff>85725</xdr:rowOff>
    </xdr:to>
    <xdr:sp macro="" textlink="">
      <xdr:nvSpPr>
        <xdr:cNvPr id="55" name="Arrow: Down 54">
          <a:extLst>
            <a:ext uri="{FF2B5EF4-FFF2-40B4-BE49-F238E27FC236}">
              <a16:creationId xmlns:a16="http://schemas.microsoft.com/office/drawing/2014/main" id="{EC7BFC2F-C2C0-4D2B-B54E-F6DEED5B0C9A}"/>
            </a:ext>
          </a:extLst>
        </xdr:cNvPr>
        <xdr:cNvSpPr/>
      </xdr:nvSpPr>
      <xdr:spPr>
        <a:xfrm>
          <a:off x="3063240" y="554355"/>
          <a:ext cx="116205" cy="255270"/>
        </a:xfrm>
        <a:prstGeom prst="down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xdr:from>
      <xdr:col>2</xdr:col>
      <xdr:colOff>97155</xdr:colOff>
      <xdr:row>10</xdr:row>
      <xdr:rowOff>19050</xdr:rowOff>
    </xdr:from>
    <xdr:to>
      <xdr:col>2</xdr:col>
      <xdr:colOff>207645</xdr:colOff>
      <xdr:row>11</xdr:row>
      <xdr:rowOff>114300</xdr:rowOff>
    </xdr:to>
    <xdr:sp macro="" textlink="">
      <xdr:nvSpPr>
        <xdr:cNvPr id="56" name="Arrow: Down 55">
          <a:extLst>
            <a:ext uri="{FF2B5EF4-FFF2-40B4-BE49-F238E27FC236}">
              <a16:creationId xmlns:a16="http://schemas.microsoft.com/office/drawing/2014/main" id="{F9650FB7-0DDE-4902-9E7E-4AE2D2C54C5B}"/>
            </a:ext>
          </a:extLst>
        </xdr:cNvPr>
        <xdr:cNvSpPr/>
      </xdr:nvSpPr>
      <xdr:spPr>
        <a:xfrm>
          <a:off x="1316355" y="1828800"/>
          <a:ext cx="110490" cy="276225"/>
        </a:xfrm>
        <a:prstGeom prst="down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xdr:from>
      <xdr:col>5</xdr:col>
      <xdr:colOff>93345</xdr:colOff>
      <xdr:row>19</xdr:row>
      <xdr:rowOff>7620</xdr:rowOff>
    </xdr:from>
    <xdr:to>
      <xdr:col>5</xdr:col>
      <xdr:colOff>219075</xdr:colOff>
      <xdr:row>20</xdr:row>
      <xdr:rowOff>81915</xdr:rowOff>
    </xdr:to>
    <xdr:sp macro="" textlink="">
      <xdr:nvSpPr>
        <xdr:cNvPr id="57" name="Arrow: Down 56">
          <a:extLst>
            <a:ext uri="{FF2B5EF4-FFF2-40B4-BE49-F238E27FC236}">
              <a16:creationId xmlns:a16="http://schemas.microsoft.com/office/drawing/2014/main" id="{92E025BF-CBCF-4B54-BB0D-A3C665426C22}"/>
            </a:ext>
          </a:extLst>
        </xdr:cNvPr>
        <xdr:cNvSpPr/>
      </xdr:nvSpPr>
      <xdr:spPr>
        <a:xfrm>
          <a:off x="3141345" y="3446145"/>
          <a:ext cx="125730" cy="255270"/>
        </a:xfrm>
        <a:prstGeom prst="down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xdr:from>
      <xdr:col>8</xdr:col>
      <xdr:colOff>287655</xdr:colOff>
      <xdr:row>18</xdr:row>
      <xdr:rowOff>171450</xdr:rowOff>
    </xdr:from>
    <xdr:to>
      <xdr:col>8</xdr:col>
      <xdr:colOff>405765</xdr:colOff>
      <xdr:row>20</xdr:row>
      <xdr:rowOff>64770</xdr:rowOff>
    </xdr:to>
    <xdr:sp macro="" textlink="">
      <xdr:nvSpPr>
        <xdr:cNvPr id="58" name="Arrow: Down 57">
          <a:extLst>
            <a:ext uri="{FF2B5EF4-FFF2-40B4-BE49-F238E27FC236}">
              <a16:creationId xmlns:a16="http://schemas.microsoft.com/office/drawing/2014/main" id="{8CCDD42D-0C3A-4BCC-BC44-6F2B659BED17}"/>
            </a:ext>
          </a:extLst>
        </xdr:cNvPr>
        <xdr:cNvSpPr/>
      </xdr:nvSpPr>
      <xdr:spPr>
        <a:xfrm>
          <a:off x="5164455" y="3429000"/>
          <a:ext cx="118110" cy="255270"/>
        </a:xfrm>
        <a:prstGeom prst="down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xdr:from>
      <xdr:col>2</xdr:col>
      <xdr:colOff>293370</xdr:colOff>
      <xdr:row>27</xdr:row>
      <xdr:rowOff>15240</xdr:rowOff>
    </xdr:from>
    <xdr:to>
      <xdr:col>2</xdr:col>
      <xdr:colOff>419100</xdr:colOff>
      <xdr:row>28</xdr:row>
      <xdr:rowOff>91440</xdr:rowOff>
    </xdr:to>
    <xdr:sp macro="" textlink="">
      <xdr:nvSpPr>
        <xdr:cNvPr id="59" name="Arrow: Down 58">
          <a:extLst>
            <a:ext uri="{FF2B5EF4-FFF2-40B4-BE49-F238E27FC236}">
              <a16:creationId xmlns:a16="http://schemas.microsoft.com/office/drawing/2014/main" id="{94F51D8D-BE16-48E9-B4EF-9DD3A54882AD}"/>
            </a:ext>
          </a:extLst>
        </xdr:cNvPr>
        <xdr:cNvSpPr/>
      </xdr:nvSpPr>
      <xdr:spPr>
        <a:xfrm>
          <a:off x="1512570" y="4901565"/>
          <a:ext cx="125730" cy="257175"/>
        </a:xfrm>
        <a:prstGeom prst="down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xdr:from>
      <xdr:col>8</xdr:col>
      <xdr:colOff>81915</xdr:colOff>
      <xdr:row>26</xdr:row>
      <xdr:rowOff>152400</xdr:rowOff>
    </xdr:from>
    <xdr:to>
      <xdr:col>8</xdr:col>
      <xdr:colOff>207645</xdr:colOff>
      <xdr:row>28</xdr:row>
      <xdr:rowOff>45720</xdr:rowOff>
    </xdr:to>
    <xdr:sp macro="" textlink="">
      <xdr:nvSpPr>
        <xdr:cNvPr id="60" name="Arrow: Down 59">
          <a:extLst>
            <a:ext uri="{FF2B5EF4-FFF2-40B4-BE49-F238E27FC236}">
              <a16:creationId xmlns:a16="http://schemas.microsoft.com/office/drawing/2014/main" id="{166CCBFA-5068-4ADD-BD9F-3654A62F05A5}"/>
            </a:ext>
          </a:extLst>
        </xdr:cNvPr>
        <xdr:cNvSpPr/>
      </xdr:nvSpPr>
      <xdr:spPr>
        <a:xfrm>
          <a:off x="4958715" y="4857750"/>
          <a:ext cx="125730" cy="255270"/>
        </a:xfrm>
        <a:prstGeom prst="down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xdr:from>
      <xdr:col>0</xdr:col>
      <xdr:colOff>114300</xdr:colOff>
      <xdr:row>13</xdr:row>
      <xdr:rowOff>87630</xdr:rowOff>
    </xdr:from>
    <xdr:to>
      <xdr:col>10</xdr:col>
      <xdr:colOff>133350</xdr:colOff>
      <xdr:row>13</xdr:row>
      <xdr:rowOff>87630</xdr:rowOff>
    </xdr:to>
    <xdr:cxnSp macro="">
      <xdr:nvCxnSpPr>
        <xdr:cNvPr id="62" name="Straight Connector 61">
          <a:extLst>
            <a:ext uri="{FF2B5EF4-FFF2-40B4-BE49-F238E27FC236}">
              <a16:creationId xmlns:a16="http://schemas.microsoft.com/office/drawing/2014/main" id="{F6929913-1398-418F-83FF-1A7A9E1726BB}"/>
            </a:ext>
          </a:extLst>
        </xdr:cNvPr>
        <xdr:cNvCxnSpPr/>
      </xdr:nvCxnSpPr>
      <xdr:spPr>
        <a:xfrm flipV="1">
          <a:off x="114300" y="2440305"/>
          <a:ext cx="6115050" cy="0"/>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114300</xdr:colOff>
      <xdr:row>5</xdr:row>
      <xdr:rowOff>91440</xdr:rowOff>
    </xdr:from>
    <xdr:to>
      <xdr:col>10</xdr:col>
      <xdr:colOff>133350</xdr:colOff>
      <xdr:row>5</xdr:row>
      <xdr:rowOff>91440</xdr:rowOff>
    </xdr:to>
    <xdr:cxnSp macro="">
      <xdr:nvCxnSpPr>
        <xdr:cNvPr id="63" name="Straight Connector 62">
          <a:extLst>
            <a:ext uri="{FF2B5EF4-FFF2-40B4-BE49-F238E27FC236}">
              <a16:creationId xmlns:a16="http://schemas.microsoft.com/office/drawing/2014/main" id="{067C5EA7-C996-4AE9-AD90-21A75CD0E591}"/>
            </a:ext>
          </a:extLst>
        </xdr:cNvPr>
        <xdr:cNvCxnSpPr/>
      </xdr:nvCxnSpPr>
      <xdr:spPr>
        <a:xfrm flipV="1">
          <a:off x="114300" y="996315"/>
          <a:ext cx="6115050" cy="0"/>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19050</xdr:colOff>
      <xdr:row>1</xdr:row>
      <xdr:rowOff>140970</xdr:rowOff>
    </xdr:from>
    <xdr:ext cx="352597" cy="264560"/>
    <xdr:sp macro="" textlink="">
      <xdr:nvSpPr>
        <xdr:cNvPr id="64" name="TextBox 63">
          <a:extLst>
            <a:ext uri="{FF2B5EF4-FFF2-40B4-BE49-F238E27FC236}">
              <a16:creationId xmlns:a16="http://schemas.microsoft.com/office/drawing/2014/main" id="{B94DC594-3C2C-419D-8EA2-710401221728}"/>
            </a:ext>
          </a:extLst>
        </xdr:cNvPr>
        <xdr:cNvSpPr txBox="1"/>
      </xdr:nvSpPr>
      <xdr:spPr>
        <a:xfrm>
          <a:off x="19050" y="321945"/>
          <a:ext cx="352597"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ZA" sz="1100"/>
            <a:t>HV</a:t>
          </a:r>
        </a:p>
      </xdr:txBody>
    </xdr:sp>
    <xdr:clientData/>
  </xdr:oneCellAnchor>
  <xdr:oneCellAnchor>
    <xdr:from>
      <xdr:col>0</xdr:col>
      <xdr:colOff>0</xdr:colOff>
      <xdr:row>9</xdr:row>
      <xdr:rowOff>161925</xdr:rowOff>
    </xdr:from>
    <xdr:ext cx="385298" cy="264560"/>
    <xdr:sp macro="" textlink="">
      <xdr:nvSpPr>
        <xdr:cNvPr id="65" name="TextBox 64">
          <a:extLst>
            <a:ext uri="{FF2B5EF4-FFF2-40B4-BE49-F238E27FC236}">
              <a16:creationId xmlns:a16="http://schemas.microsoft.com/office/drawing/2014/main" id="{AD0F5346-7E09-451D-8A77-EDF490CA4172}"/>
            </a:ext>
          </a:extLst>
        </xdr:cNvPr>
        <xdr:cNvSpPr txBox="1"/>
      </xdr:nvSpPr>
      <xdr:spPr>
        <a:xfrm>
          <a:off x="0" y="1790700"/>
          <a:ext cx="385298"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ZA" sz="1100"/>
            <a:t>MV</a:t>
          </a:r>
        </a:p>
      </xdr:txBody>
    </xdr:sp>
    <xdr:clientData/>
  </xdr:oneCellAnchor>
  <xdr:oneCellAnchor>
    <xdr:from>
      <xdr:col>0</xdr:col>
      <xdr:colOff>0</xdr:colOff>
      <xdr:row>18</xdr:row>
      <xdr:rowOff>87630</xdr:rowOff>
    </xdr:from>
    <xdr:ext cx="323999" cy="264560"/>
    <xdr:sp macro="" textlink="">
      <xdr:nvSpPr>
        <xdr:cNvPr id="66" name="TextBox 65">
          <a:extLst>
            <a:ext uri="{FF2B5EF4-FFF2-40B4-BE49-F238E27FC236}">
              <a16:creationId xmlns:a16="http://schemas.microsoft.com/office/drawing/2014/main" id="{53D66D93-7319-4630-B676-0112EFBE215C}"/>
            </a:ext>
          </a:extLst>
        </xdr:cNvPr>
        <xdr:cNvSpPr txBox="1"/>
      </xdr:nvSpPr>
      <xdr:spPr>
        <a:xfrm>
          <a:off x="0" y="3345180"/>
          <a:ext cx="323999"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ZA" sz="1100"/>
            <a:t>LV</a:t>
          </a:r>
        </a:p>
      </xdr:txBody>
    </xdr:sp>
    <xdr:clientData/>
  </xdr:oneCellAnchor>
  <xdr:twoCellAnchor>
    <xdr:from>
      <xdr:col>5</xdr:col>
      <xdr:colOff>264231</xdr:colOff>
      <xdr:row>11</xdr:row>
      <xdr:rowOff>7620</xdr:rowOff>
    </xdr:from>
    <xdr:to>
      <xdr:col>5</xdr:col>
      <xdr:colOff>415431</xdr:colOff>
      <xdr:row>11</xdr:row>
      <xdr:rowOff>179070</xdr:rowOff>
    </xdr:to>
    <xdr:sp macro="" textlink="">
      <xdr:nvSpPr>
        <xdr:cNvPr id="67" name="Oval 66">
          <a:extLst>
            <a:ext uri="{FF2B5EF4-FFF2-40B4-BE49-F238E27FC236}">
              <a16:creationId xmlns:a16="http://schemas.microsoft.com/office/drawing/2014/main" id="{96B79B18-4C96-46C9-95E9-25CC97D049F0}"/>
            </a:ext>
          </a:extLst>
        </xdr:cNvPr>
        <xdr:cNvSpPr/>
      </xdr:nvSpPr>
      <xdr:spPr>
        <a:xfrm>
          <a:off x="3312231" y="1998345"/>
          <a:ext cx="151200" cy="171450"/>
        </a:xfrm>
        <a:prstGeom prst="ellips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xdr:from>
      <xdr:col>6</xdr:col>
      <xdr:colOff>283281</xdr:colOff>
      <xdr:row>11</xdr:row>
      <xdr:rowOff>7620</xdr:rowOff>
    </xdr:from>
    <xdr:to>
      <xdr:col>6</xdr:col>
      <xdr:colOff>434481</xdr:colOff>
      <xdr:row>11</xdr:row>
      <xdr:rowOff>179070</xdr:rowOff>
    </xdr:to>
    <xdr:sp macro="" textlink="">
      <xdr:nvSpPr>
        <xdr:cNvPr id="68" name="Oval 67">
          <a:extLst>
            <a:ext uri="{FF2B5EF4-FFF2-40B4-BE49-F238E27FC236}">
              <a16:creationId xmlns:a16="http://schemas.microsoft.com/office/drawing/2014/main" id="{D843843D-F2F2-4A32-A93F-774C9B50D406}"/>
            </a:ext>
          </a:extLst>
        </xdr:cNvPr>
        <xdr:cNvSpPr/>
      </xdr:nvSpPr>
      <xdr:spPr>
        <a:xfrm>
          <a:off x="3940881" y="1998345"/>
          <a:ext cx="151200" cy="171450"/>
        </a:xfrm>
        <a:prstGeom prst="ellips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xdr:from>
      <xdr:col>7</xdr:col>
      <xdr:colOff>189936</xdr:colOff>
      <xdr:row>11</xdr:row>
      <xdr:rowOff>7620</xdr:rowOff>
    </xdr:from>
    <xdr:to>
      <xdr:col>7</xdr:col>
      <xdr:colOff>341136</xdr:colOff>
      <xdr:row>11</xdr:row>
      <xdr:rowOff>179070</xdr:rowOff>
    </xdr:to>
    <xdr:sp macro="" textlink="">
      <xdr:nvSpPr>
        <xdr:cNvPr id="69" name="Oval 68">
          <a:extLst>
            <a:ext uri="{FF2B5EF4-FFF2-40B4-BE49-F238E27FC236}">
              <a16:creationId xmlns:a16="http://schemas.microsoft.com/office/drawing/2014/main" id="{B366DD7A-4585-4441-B979-5950DFF7DE51}"/>
            </a:ext>
          </a:extLst>
        </xdr:cNvPr>
        <xdr:cNvSpPr/>
      </xdr:nvSpPr>
      <xdr:spPr>
        <a:xfrm>
          <a:off x="4457136" y="1998345"/>
          <a:ext cx="151200" cy="171450"/>
        </a:xfrm>
        <a:prstGeom prst="ellips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xdr:from>
      <xdr:col>8</xdr:col>
      <xdr:colOff>58491</xdr:colOff>
      <xdr:row>10</xdr:row>
      <xdr:rowOff>179070</xdr:rowOff>
    </xdr:from>
    <xdr:to>
      <xdr:col>8</xdr:col>
      <xdr:colOff>209691</xdr:colOff>
      <xdr:row>11</xdr:row>
      <xdr:rowOff>160020</xdr:rowOff>
    </xdr:to>
    <xdr:sp macro="" textlink="">
      <xdr:nvSpPr>
        <xdr:cNvPr id="70" name="Oval 69">
          <a:extLst>
            <a:ext uri="{FF2B5EF4-FFF2-40B4-BE49-F238E27FC236}">
              <a16:creationId xmlns:a16="http://schemas.microsoft.com/office/drawing/2014/main" id="{E04FBDB4-1398-417C-8833-6AB4617D1B8D}"/>
            </a:ext>
          </a:extLst>
        </xdr:cNvPr>
        <xdr:cNvSpPr/>
      </xdr:nvSpPr>
      <xdr:spPr>
        <a:xfrm>
          <a:off x="4935291" y="1988820"/>
          <a:ext cx="151200" cy="161925"/>
        </a:xfrm>
        <a:prstGeom prst="ellips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xdr:from>
      <xdr:col>4</xdr:col>
      <xdr:colOff>550545</xdr:colOff>
      <xdr:row>10</xdr:row>
      <xdr:rowOff>179070</xdr:rowOff>
    </xdr:from>
    <xdr:to>
      <xdr:col>5</xdr:col>
      <xdr:colOff>97860</xdr:colOff>
      <xdr:row>11</xdr:row>
      <xdr:rowOff>173355</xdr:rowOff>
    </xdr:to>
    <xdr:sp macro="" textlink="">
      <xdr:nvSpPr>
        <xdr:cNvPr id="71" name="Oval 70">
          <a:extLst>
            <a:ext uri="{FF2B5EF4-FFF2-40B4-BE49-F238E27FC236}">
              <a16:creationId xmlns:a16="http://schemas.microsoft.com/office/drawing/2014/main" id="{33EDBA42-5CAA-471F-8FFE-9EEDBD1B64E4}"/>
            </a:ext>
          </a:extLst>
        </xdr:cNvPr>
        <xdr:cNvSpPr/>
      </xdr:nvSpPr>
      <xdr:spPr>
        <a:xfrm>
          <a:off x="2988945" y="1988820"/>
          <a:ext cx="156915" cy="175260"/>
        </a:xfrm>
        <a:prstGeom prst="ellips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xdr:from>
      <xdr:col>1</xdr:col>
      <xdr:colOff>0</xdr:colOff>
      <xdr:row>5</xdr:row>
      <xdr:rowOff>104775</xdr:rowOff>
    </xdr:from>
    <xdr:to>
      <xdr:col>1</xdr:col>
      <xdr:colOff>0</xdr:colOff>
      <xdr:row>13</xdr:row>
      <xdr:rowOff>114300</xdr:rowOff>
    </xdr:to>
    <xdr:cxnSp macro="">
      <xdr:nvCxnSpPr>
        <xdr:cNvPr id="73" name="Straight Arrow Connector 72">
          <a:extLst>
            <a:ext uri="{FF2B5EF4-FFF2-40B4-BE49-F238E27FC236}">
              <a16:creationId xmlns:a16="http://schemas.microsoft.com/office/drawing/2014/main" id="{D2F0622B-F75B-4B9E-8C27-03A3D8D430E3}"/>
            </a:ext>
          </a:extLst>
        </xdr:cNvPr>
        <xdr:cNvCxnSpPr/>
      </xdr:nvCxnSpPr>
      <xdr:spPr>
        <a:xfrm>
          <a:off x="609600" y="1009650"/>
          <a:ext cx="0" cy="1457325"/>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13</xdr:row>
      <xdr:rowOff>100965</xdr:rowOff>
    </xdr:from>
    <xdr:to>
      <xdr:col>1</xdr:col>
      <xdr:colOff>0</xdr:colOff>
      <xdr:row>28</xdr:row>
      <xdr:rowOff>95250</xdr:rowOff>
    </xdr:to>
    <xdr:cxnSp macro="">
      <xdr:nvCxnSpPr>
        <xdr:cNvPr id="74" name="Straight Arrow Connector 73">
          <a:extLst>
            <a:ext uri="{FF2B5EF4-FFF2-40B4-BE49-F238E27FC236}">
              <a16:creationId xmlns:a16="http://schemas.microsoft.com/office/drawing/2014/main" id="{265646FD-C26B-4496-AB47-2E6145B2B62F}"/>
            </a:ext>
          </a:extLst>
        </xdr:cNvPr>
        <xdr:cNvCxnSpPr/>
      </xdr:nvCxnSpPr>
      <xdr:spPr>
        <a:xfrm>
          <a:off x="609600" y="2453640"/>
          <a:ext cx="0" cy="2708910"/>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0</xdr:row>
      <xdr:rowOff>17145</xdr:rowOff>
    </xdr:from>
    <xdr:to>
      <xdr:col>1</xdr:col>
      <xdr:colOff>0</xdr:colOff>
      <xdr:row>5</xdr:row>
      <xdr:rowOff>114300</xdr:rowOff>
    </xdr:to>
    <xdr:cxnSp macro="">
      <xdr:nvCxnSpPr>
        <xdr:cNvPr id="76" name="Straight Arrow Connector 75">
          <a:extLst>
            <a:ext uri="{FF2B5EF4-FFF2-40B4-BE49-F238E27FC236}">
              <a16:creationId xmlns:a16="http://schemas.microsoft.com/office/drawing/2014/main" id="{EA108955-BBEB-47B0-BD3F-8CDB9EA4281A}"/>
            </a:ext>
          </a:extLst>
        </xdr:cNvPr>
        <xdr:cNvCxnSpPr/>
      </xdr:nvCxnSpPr>
      <xdr:spPr>
        <a:xfrm>
          <a:off x="609600" y="17145"/>
          <a:ext cx="0" cy="1002030"/>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401478</xdr:colOff>
      <xdr:row>10</xdr:row>
      <xdr:rowOff>19050</xdr:rowOff>
    </xdr:from>
    <xdr:to>
      <xdr:col>2</xdr:col>
      <xdr:colOff>401478</xdr:colOff>
      <xdr:row>11</xdr:row>
      <xdr:rowOff>114300</xdr:rowOff>
    </xdr:to>
    <xdr:cxnSp macro="">
      <xdr:nvCxnSpPr>
        <xdr:cNvPr id="78" name="Straight Connector 77">
          <a:extLst>
            <a:ext uri="{FF2B5EF4-FFF2-40B4-BE49-F238E27FC236}">
              <a16:creationId xmlns:a16="http://schemas.microsoft.com/office/drawing/2014/main" id="{85A14A8B-5E13-45F6-964E-EB1DA9680252}"/>
            </a:ext>
          </a:extLst>
        </xdr:cNvPr>
        <xdr:cNvCxnSpPr/>
      </xdr:nvCxnSpPr>
      <xdr:spPr>
        <a:xfrm>
          <a:off x="1620678" y="1828800"/>
          <a:ext cx="0" cy="276225"/>
        </a:xfrm>
        <a:prstGeom prst="line">
          <a:avLst/>
        </a:prstGeom>
        <a:ln>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323850</xdr:colOff>
      <xdr:row>11</xdr:row>
      <xdr:rowOff>28575</xdr:rowOff>
    </xdr:from>
    <xdr:to>
      <xdr:col>2</xdr:col>
      <xdr:colOff>478155</xdr:colOff>
      <xdr:row>11</xdr:row>
      <xdr:rowOff>158115</xdr:rowOff>
    </xdr:to>
    <xdr:sp macro="" textlink="">
      <xdr:nvSpPr>
        <xdr:cNvPr id="80" name="Rectangle 79">
          <a:extLst>
            <a:ext uri="{FF2B5EF4-FFF2-40B4-BE49-F238E27FC236}">
              <a16:creationId xmlns:a16="http://schemas.microsoft.com/office/drawing/2014/main" id="{C138B829-3BF0-4AF6-9383-1C3A9665D960}"/>
            </a:ext>
          </a:extLst>
        </xdr:cNvPr>
        <xdr:cNvSpPr/>
      </xdr:nvSpPr>
      <xdr:spPr>
        <a:xfrm>
          <a:off x="1543050" y="2019300"/>
          <a:ext cx="154305" cy="129540"/>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xdr:from>
      <xdr:col>2</xdr:col>
      <xdr:colOff>398145</xdr:colOff>
      <xdr:row>11</xdr:row>
      <xdr:rowOff>133350</xdr:rowOff>
    </xdr:from>
    <xdr:to>
      <xdr:col>2</xdr:col>
      <xdr:colOff>516255</xdr:colOff>
      <xdr:row>13</xdr:row>
      <xdr:rowOff>28575</xdr:rowOff>
    </xdr:to>
    <xdr:sp macro="" textlink="">
      <xdr:nvSpPr>
        <xdr:cNvPr id="81" name="Arrow: Down 80">
          <a:extLst>
            <a:ext uri="{FF2B5EF4-FFF2-40B4-BE49-F238E27FC236}">
              <a16:creationId xmlns:a16="http://schemas.microsoft.com/office/drawing/2014/main" id="{9A9057EC-AAFE-4226-8186-8686C349BEDD}"/>
            </a:ext>
          </a:extLst>
        </xdr:cNvPr>
        <xdr:cNvSpPr/>
      </xdr:nvSpPr>
      <xdr:spPr>
        <a:xfrm>
          <a:off x="1617345" y="2124075"/>
          <a:ext cx="118110" cy="257175"/>
        </a:xfrm>
        <a:prstGeom prst="down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xdr:from>
      <xdr:col>6</xdr:col>
      <xdr:colOff>354330</xdr:colOff>
      <xdr:row>11</xdr:row>
      <xdr:rowOff>129540</xdr:rowOff>
    </xdr:from>
    <xdr:to>
      <xdr:col>6</xdr:col>
      <xdr:colOff>464820</xdr:colOff>
      <xdr:row>13</xdr:row>
      <xdr:rowOff>28575</xdr:rowOff>
    </xdr:to>
    <xdr:sp macro="" textlink="">
      <xdr:nvSpPr>
        <xdr:cNvPr id="84" name="Arrow: Down 83">
          <a:extLst>
            <a:ext uri="{FF2B5EF4-FFF2-40B4-BE49-F238E27FC236}">
              <a16:creationId xmlns:a16="http://schemas.microsoft.com/office/drawing/2014/main" id="{E574E721-8CA4-4292-B1D7-ECDC7B5C9AB9}"/>
            </a:ext>
          </a:extLst>
        </xdr:cNvPr>
        <xdr:cNvSpPr/>
      </xdr:nvSpPr>
      <xdr:spPr>
        <a:xfrm>
          <a:off x="4011930" y="2120265"/>
          <a:ext cx="110490" cy="260985"/>
        </a:xfrm>
        <a:prstGeom prst="down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oneCellAnchor>
    <xdr:from>
      <xdr:col>5</xdr:col>
      <xdr:colOff>207645</xdr:colOff>
      <xdr:row>3</xdr:row>
      <xdr:rowOff>91440</xdr:rowOff>
    </xdr:from>
    <xdr:ext cx="1203663" cy="264560"/>
    <xdr:sp macro="" textlink="">
      <xdr:nvSpPr>
        <xdr:cNvPr id="85" name="TextBox 84">
          <a:extLst>
            <a:ext uri="{FF2B5EF4-FFF2-40B4-BE49-F238E27FC236}">
              <a16:creationId xmlns:a16="http://schemas.microsoft.com/office/drawing/2014/main" id="{AA6E5F0C-D291-4AB2-BA33-04C9E172B56E}"/>
            </a:ext>
          </a:extLst>
        </xdr:cNvPr>
        <xdr:cNvSpPr txBox="1"/>
      </xdr:nvSpPr>
      <xdr:spPr>
        <a:xfrm>
          <a:off x="3255645" y="634365"/>
          <a:ext cx="12036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ZA" sz="1100"/>
            <a:t>HV bulk customer</a:t>
          </a:r>
        </a:p>
      </xdr:txBody>
    </xdr:sp>
    <xdr:clientData/>
  </xdr:oneCellAnchor>
  <xdr:oneCellAnchor>
    <xdr:from>
      <xdr:col>1</xdr:col>
      <xdr:colOff>120015</xdr:colOff>
      <xdr:row>11</xdr:row>
      <xdr:rowOff>24765</xdr:rowOff>
    </xdr:from>
    <xdr:ext cx="847725" cy="436786"/>
    <xdr:sp macro="" textlink="">
      <xdr:nvSpPr>
        <xdr:cNvPr id="86" name="TextBox 85">
          <a:extLst>
            <a:ext uri="{FF2B5EF4-FFF2-40B4-BE49-F238E27FC236}">
              <a16:creationId xmlns:a16="http://schemas.microsoft.com/office/drawing/2014/main" id="{66BC1307-5080-4ACD-B06E-8579C9FBB58E}"/>
            </a:ext>
          </a:extLst>
        </xdr:cNvPr>
        <xdr:cNvSpPr txBox="1"/>
      </xdr:nvSpPr>
      <xdr:spPr>
        <a:xfrm>
          <a:off x="729615" y="2015490"/>
          <a:ext cx="847725"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ZA" sz="1100"/>
            <a:t>MV bulk customers</a:t>
          </a:r>
        </a:p>
      </xdr:txBody>
    </xdr:sp>
    <xdr:clientData/>
  </xdr:oneCellAnchor>
  <xdr:oneCellAnchor>
    <xdr:from>
      <xdr:col>5</xdr:col>
      <xdr:colOff>226695</xdr:colOff>
      <xdr:row>19</xdr:row>
      <xdr:rowOff>55245</xdr:rowOff>
    </xdr:from>
    <xdr:ext cx="847725" cy="609013"/>
    <xdr:sp macro="" textlink="">
      <xdr:nvSpPr>
        <xdr:cNvPr id="87" name="TextBox 86">
          <a:extLst>
            <a:ext uri="{FF2B5EF4-FFF2-40B4-BE49-F238E27FC236}">
              <a16:creationId xmlns:a16="http://schemas.microsoft.com/office/drawing/2014/main" id="{E929C4BB-AB23-4319-93B7-C661C1E7D800}"/>
            </a:ext>
          </a:extLst>
        </xdr:cNvPr>
        <xdr:cNvSpPr txBox="1"/>
      </xdr:nvSpPr>
      <xdr:spPr>
        <a:xfrm>
          <a:off x="3274695" y="3493770"/>
          <a:ext cx="847725" cy="609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ZA" sz="1100"/>
            <a:t>LV bulk customer (urban)</a:t>
          </a:r>
        </a:p>
      </xdr:txBody>
    </xdr:sp>
    <xdr:clientData/>
  </xdr:oneCellAnchor>
  <xdr:oneCellAnchor>
    <xdr:from>
      <xdr:col>8</xdr:col>
      <xdr:colOff>516255</xdr:colOff>
      <xdr:row>18</xdr:row>
      <xdr:rowOff>55245</xdr:rowOff>
    </xdr:from>
    <xdr:ext cx="1192530" cy="436786"/>
    <xdr:sp macro="" textlink="">
      <xdr:nvSpPr>
        <xdr:cNvPr id="88" name="TextBox 87">
          <a:extLst>
            <a:ext uri="{FF2B5EF4-FFF2-40B4-BE49-F238E27FC236}">
              <a16:creationId xmlns:a16="http://schemas.microsoft.com/office/drawing/2014/main" id="{2C6EC76E-7D12-45E6-8333-F13E713825E4}"/>
            </a:ext>
          </a:extLst>
        </xdr:cNvPr>
        <xdr:cNvSpPr txBox="1"/>
      </xdr:nvSpPr>
      <xdr:spPr>
        <a:xfrm>
          <a:off x="5393055" y="3312795"/>
          <a:ext cx="1192530"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ZA" sz="1100"/>
            <a:t>LV bulk customer (urban / rural)</a:t>
          </a:r>
        </a:p>
      </xdr:txBody>
    </xdr:sp>
    <xdr:clientData/>
  </xdr:oneCellAnchor>
  <xdr:oneCellAnchor>
    <xdr:from>
      <xdr:col>8</xdr:col>
      <xdr:colOff>247649</xdr:colOff>
      <xdr:row>26</xdr:row>
      <xdr:rowOff>97155</xdr:rowOff>
    </xdr:from>
    <xdr:ext cx="1499235" cy="609013"/>
    <xdr:sp macro="" textlink="">
      <xdr:nvSpPr>
        <xdr:cNvPr id="89" name="TextBox 88">
          <a:extLst>
            <a:ext uri="{FF2B5EF4-FFF2-40B4-BE49-F238E27FC236}">
              <a16:creationId xmlns:a16="http://schemas.microsoft.com/office/drawing/2014/main" id="{B1FEB861-6634-49FA-8543-18CC3F7DBF64}"/>
            </a:ext>
          </a:extLst>
        </xdr:cNvPr>
        <xdr:cNvSpPr txBox="1"/>
      </xdr:nvSpPr>
      <xdr:spPr>
        <a:xfrm>
          <a:off x="5124449" y="4802505"/>
          <a:ext cx="1499235" cy="609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ZA" sz="1100"/>
            <a:t>LV domestic / small commercial customers (urban / rural)</a:t>
          </a:r>
        </a:p>
      </xdr:txBody>
    </xdr:sp>
    <xdr:clientData/>
  </xdr:oneCellAnchor>
  <xdr:oneCellAnchor>
    <xdr:from>
      <xdr:col>2</xdr:col>
      <xdr:colOff>434340</xdr:colOff>
      <xdr:row>26</xdr:row>
      <xdr:rowOff>97155</xdr:rowOff>
    </xdr:from>
    <xdr:ext cx="1245870" cy="609013"/>
    <xdr:sp macro="" textlink="">
      <xdr:nvSpPr>
        <xdr:cNvPr id="90" name="TextBox 89">
          <a:extLst>
            <a:ext uri="{FF2B5EF4-FFF2-40B4-BE49-F238E27FC236}">
              <a16:creationId xmlns:a16="http://schemas.microsoft.com/office/drawing/2014/main" id="{80A294AE-DDD7-4B43-A039-D10BB6344AC0}"/>
            </a:ext>
          </a:extLst>
        </xdr:cNvPr>
        <xdr:cNvSpPr txBox="1"/>
      </xdr:nvSpPr>
      <xdr:spPr>
        <a:xfrm>
          <a:off x="1653540" y="4802505"/>
          <a:ext cx="1245870" cy="609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ZA" sz="1100"/>
            <a:t>LV domestic / small commercial customers (urban)</a:t>
          </a:r>
        </a:p>
      </xdr:txBody>
    </xdr:sp>
    <xdr:clientData/>
  </xdr:oneCellAnchor>
  <xdr:twoCellAnchor>
    <xdr:from>
      <xdr:col>12</xdr:col>
      <xdr:colOff>179070</xdr:colOff>
      <xdr:row>6</xdr:row>
      <xdr:rowOff>97155</xdr:rowOff>
    </xdr:from>
    <xdr:to>
      <xdr:col>12</xdr:col>
      <xdr:colOff>335280</xdr:colOff>
      <xdr:row>7</xdr:row>
      <xdr:rowOff>53340</xdr:rowOff>
    </xdr:to>
    <xdr:sp macro="" textlink="">
      <xdr:nvSpPr>
        <xdr:cNvPr id="91" name="Rectangle 90">
          <a:extLst>
            <a:ext uri="{FF2B5EF4-FFF2-40B4-BE49-F238E27FC236}">
              <a16:creationId xmlns:a16="http://schemas.microsoft.com/office/drawing/2014/main" id="{EFC43918-A236-4AF2-8FD6-FF37F1C21FB7}"/>
            </a:ext>
          </a:extLst>
        </xdr:cNvPr>
        <xdr:cNvSpPr/>
      </xdr:nvSpPr>
      <xdr:spPr>
        <a:xfrm>
          <a:off x="7494270" y="1183005"/>
          <a:ext cx="156210" cy="137160"/>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xdr:from>
      <xdr:col>12</xdr:col>
      <xdr:colOff>176213</xdr:colOff>
      <xdr:row>8</xdr:row>
      <xdr:rowOff>135255</xdr:rowOff>
    </xdr:from>
    <xdr:to>
      <xdr:col>12</xdr:col>
      <xdr:colOff>338138</xdr:colOff>
      <xdr:row>9</xdr:row>
      <xdr:rowOff>87630</xdr:rowOff>
    </xdr:to>
    <xdr:sp macro="" textlink="">
      <xdr:nvSpPr>
        <xdr:cNvPr id="92" name="Rectangle 91">
          <a:extLst>
            <a:ext uri="{FF2B5EF4-FFF2-40B4-BE49-F238E27FC236}">
              <a16:creationId xmlns:a16="http://schemas.microsoft.com/office/drawing/2014/main" id="{9511B43E-E51A-4574-B271-02048BDA4B33}"/>
            </a:ext>
          </a:extLst>
        </xdr:cNvPr>
        <xdr:cNvSpPr/>
      </xdr:nvSpPr>
      <xdr:spPr>
        <a:xfrm>
          <a:off x="7491413" y="1583055"/>
          <a:ext cx="161925" cy="133350"/>
        </a:xfrm>
        <a:prstGeom prst="rect">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xdr:from>
      <xdr:col>12</xdr:col>
      <xdr:colOff>181575</xdr:colOff>
      <xdr:row>10</xdr:row>
      <xdr:rowOff>116205</xdr:rowOff>
    </xdr:from>
    <xdr:to>
      <xdr:col>12</xdr:col>
      <xdr:colOff>332775</xdr:colOff>
      <xdr:row>11</xdr:row>
      <xdr:rowOff>93345</xdr:rowOff>
    </xdr:to>
    <xdr:sp macro="" textlink="">
      <xdr:nvSpPr>
        <xdr:cNvPr id="93" name="Oval 92">
          <a:extLst>
            <a:ext uri="{FF2B5EF4-FFF2-40B4-BE49-F238E27FC236}">
              <a16:creationId xmlns:a16="http://schemas.microsoft.com/office/drawing/2014/main" id="{9FB8C908-6EE6-4348-9903-A775ED5D630D}"/>
            </a:ext>
          </a:extLst>
        </xdr:cNvPr>
        <xdr:cNvSpPr/>
      </xdr:nvSpPr>
      <xdr:spPr>
        <a:xfrm>
          <a:off x="7496775" y="1925955"/>
          <a:ext cx="151200" cy="158115"/>
        </a:xfrm>
        <a:prstGeom prst="ellipse">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xdr:from>
      <xdr:col>2</xdr:col>
      <xdr:colOff>300990</xdr:colOff>
      <xdr:row>24</xdr:row>
      <xdr:rowOff>76200</xdr:rowOff>
    </xdr:from>
    <xdr:to>
      <xdr:col>2</xdr:col>
      <xdr:colOff>430530</xdr:colOff>
      <xdr:row>25</xdr:row>
      <xdr:rowOff>152400</xdr:rowOff>
    </xdr:to>
    <xdr:sp macro="" textlink="">
      <xdr:nvSpPr>
        <xdr:cNvPr id="94" name="Arrow: Down 93">
          <a:extLst>
            <a:ext uri="{FF2B5EF4-FFF2-40B4-BE49-F238E27FC236}">
              <a16:creationId xmlns:a16="http://schemas.microsoft.com/office/drawing/2014/main" id="{66171D4E-87D5-414D-BDD3-A6B50CF1C0D4}"/>
            </a:ext>
          </a:extLst>
        </xdr:cNvPr>
        <xdr:cNvSpPr/>
      </xdr:nvSpPr>
      <xdr:spPr>
        <a:xfrm>
          <a:off x="1520190" y="4419600"/>
          <a:ext cx="129540" cy="257175"/>
        </a:xfrm>
        <a:prstGeom prst="down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xdr:from>
      <xdr:col>2</xdr:col>
      <xdr:colOff>320040</xdr:colOff>
      <xdr:row>21</xdr:row>
      <xdr:rowOff>152400</xdr:rowOff>
    </xdr:from>
    <xdr:to>
      <xdr:col>2</xdr:col>
      <xdr:colOff>449580</xdr:colOff>
      <xdr:row>23</xdr:row>
      <xdr:rowOff>47625</xdr:rowOff>
    </xdr:to>
    <xdr:sp macro="" textlink="">
      <xdr:nvSpPr>
        <xdr:cNvPr id="95" name="Arrow: Down 94">
          <a:extLst>
            <a:ext uri="{FF2B5EF4-FFF2-40B4-BE49-F238E27FC236}">
              <a16:creationId xmlns:a16="http://schemas.microsoft.com/office/drawing/2014/main" id="{B68D8083-D594-4747-8D17-BADE0974B0D7}"/>
            </a:ext>
          </a:extLst>
        </xdr:cNvPr>
        <xdr:cNvSpPr/>
      </xdr:nvSpPr>
      <xdr:spPr>
        <a:xfrm>
          <a:off x="1539240" y="3952875"/>
          <a:ext cx="129540" cy="257175"/>
        </a:xfrm>
        <a:prstGeom prst="down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xdr:from>
      <xdr:col>8</xdr:col>
      <xdr:colOff>121920</xdr:colOff>
      <xdr:row>24</xdr:row>
      <xdr:rowOff>133350</xdr:rowOff>
    </xdr:from>
    <xdr:to>
      <xdr:col>8</xdr:col>
      <xdr:colOff>243840</xdr:colOff>
      <xdr:row>26</xdr:row>
      <xdr:rowOff>30480</xdr:rowOff>
    </xdr:to>
    <xdr:sp macro="" textlink="">
      <xdr:nvSpPr>
        <xdr:cNvPr id="96" name="Arrow: Down 95">
          <a:extLst>
            <a:ext uri="{FF2B5EF4-FFF2-40B4-BE49-F238E27FC236}">
              <a16:creationId xmlns:a16="http://schemas.microsoft.com/office/drawing/2014/main" id="{C0FA6F67-8C2D-484D-A149-0D0BBC6C844C}"/>
            </a:ext>
          </a:extLst>
        </xdr:cNvPr>
        <xdr:cNvSpPr/>
      </xdr:nvSpPr>
      <xdr:spPr>
        <a:xfrm>
          <a:off x="4998720" y="4476750"/>
          <a:ext cx="121920" cy="259080"/>
        </a:xfrm>
        <a:prstGeom prst="down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xdr:from>
      <xdr:col>8</xdr:col>
      <xdr:colOff>123825</xdr:colOff>
      <xdr:row>22</xdr:row>
      <xdr:rowOff>110490</xdr:rowOff>
    </xdr:from>
    <xdr:to>
      <xdr:col>8</xdr:col>
      <xdr:colOff>245745</xdr:colOff>
      <xdr:row>24</xdr:row>
      <xdr:rowOff>7620</xdr:rowOff>
    </xdr:to>
    <xdr:sp macro="" textlink="">
      <xdr:nvSpPr>
        <xdr:cNvPr id="97" name="Arrow: Down 96">
          <a:extLst>
            <a:ext uri="{FF2B5EF4-FFF2-40B4-BE49-F238E27FC236}">
              <a16:creationId xmlns:a16="http://schemas.microsoft.com/office/drawing/2014/main" id="{8850EC64-4B11-4E4F-8F78-B4817662EB6E}"/>
            </a:ext>
          </a:extLst>
        </xdr:cNvPr>
        <xdr:cNvSpPr/>
      </xdr:nvSpPr>
      <xdr:spPr>
        <a:xfrm>
          <a:off x="5000625" y="4091940"/>
          <a:ext cx="121920" cy="259080"/>
        </a:xfrm>
        <a:prstGeom prst="down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xdr:from>
      <xdr:col>8</xdr:col>
      <xdr:colOff>125730</xdr:colOff>
      <xdr:row>20</xdr:row>
      <xdr:rowOff>100965</xdr:rowOff>
    </xdr:from>
    <xdr:to>
      <xdr:col>8</xdr:col>
      <xdr:colOff>247650</xdr:colOff>
      <xdr:row>21</xdr:row>
      <xdr:rowOff>179070</xdr:rowOff>
    </xdr:to>
    <xdr:sp macro="" textlink="">
      <xdr:nvSpPr>
        <xdr:cNvPr id="98" name="Arrow: Down 97">
          <a:extLst>
            <a:ext uri="{FF2B5EF4-FFF2-40B4-BE49-F238E27FC236}">
              <a16:creationId xmlns:a16="http://schemas.microsoft.com/office/drawing/2014/main" id="{3C87E663-DD55-4CC5-B9B5-BFA5CB1422D8}"/>
            </a:ext>
          </a:extLst>
        </xdr:cNvPr>
        <xdr:cNvSpPr/>
      </xdr:nvSpPr>
      <xdr:spPr>
        <a:xfrm>
          <a:off x="5002530" y="3720465"/>
          <a:ext cx="121920" cy="259080"/>
        </a:xfrm>
        <a:prstGeom prst="down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xdr:from>
      <xdr:col>12</xdr:col>
      <xdr:colOff>196215</xdr:colOff>
      <xdr:row>12</xdr:row>
      <xdr:rowOff>66675</xdr:rowOff>
    </xdr:from>
    <xdr:to>
      <xdr:col>12</xdr:col>
      <xdr:colOff>318135</xdr:colOff>
      <xdr:row>13</xdr:row>
      <xdr:rowOff>142875</xdr:rowOff>
    </xdr:to>
    <xdr:sp macro="" textlink="">
      <xdr:nvSpPr>
        <xdr:cNvPr id="99" name="Arrow: Down 98">
          <a:extLst>
            <a:ext uri="{FF2B5EF4-FFF2-40B4-BE49-F238E27FC236}">
              <a16:creationId xmlns:a16="http://schemas.microsoft.com/office/drawing/2014/main" id="{DAC49971-32F3-49B7-A1A2-DB12CC4F9D51}"/>
            </a:ext>
          </a:extLst>
        </xdr:cNvPr>
        <xdr:cNvSpPr/>
      </xdr:nvSpPr>
      <xdr:spPr>
        <a:xfrm>
          <a:off x="7511415" y="2238375"/>
          <a:ext cx="121920" cy="257175"/>
        </a:xfrm>
        <a:prstGeom prst="down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xdr:from>
      <xdr:col>12</xdr:col>
      <xdr:colOff>142399</xdr:colOff>
      <xdr:row>3</xdr:row>
      <xdr:rowOff>116205</xdr:rowOff>
    </xdr:from>
    <xdr:to>
      <xdr:col>12</xdr:col>
      <xdr:colOff>371952</xdr:colOff>
      <xdr:row>5</xdr:row>
      <xdr:rowOff>142875</xdr:rowOff>
    </xdr:to>
    <xdr:grpSp>
      <xdr:nvGrpSpPr>
        <xdr:cNvPr id="100" name="Group 99">
          <a:extLst>
            <a:ext uri="{FF2B5EF4-FFF2-40B4-BE49-F238E27FC236}">
              <a16:creationId xmlns:a16="http://schemas.microsoft.com/office/drawing/2014/main" id="{8E3A8D3A-3CF8-4D01-9359-A14C01DBE4AD}"/>
            </a:ext>
          </a:extLst>
        </xdr:cNvPr>
        <xdr:cNvGrpSpPr/>
      </xdr:nvGrpSpPr>
      <xdr:grpSpPr>
        <a:xfrm>
          <a:off x="7494728" y="676499"/>
          <a:ext cx="229553" cy="401470"/>
          <a:chOff x="2149792" y="1043940"/>
          <a:chExt cx="304800" cy="506730"/>
        </a:xfrm>
      </xdr:grpSpPr>
      <xdr:sp macro="" textlink="">
        <xdr:nvSpPr>
          <xdr:cNvPr id="101" name="Oval 100">
            <a:extLst>
              <a:ext uri="{FF2B5EF4-FFF2-40B4-BE49-F238E27FC236}">
                <a16:creationId xmlns:a16="http://schemas.microsoft.com/office/drawing/2014/main" id="{0DE54B94-613F-4D35-B857-D3F643A105B2}"/>
              </a:ext>
            </a:extLst>
          </xdr:cNvPr>
          <xdr:cNvSpPr/>
        </xdr:nvSpPr>
        <xdr:spPr>
          <a:xfrm>
            <a:off x="2149792" y="1043940"/>
            <a:ext cx="304800" cy="318135"/>
          </a:xfrm>
          <a:prstGeom prst="ellipse">
            <a:avLst/>
          </a:prstGeom>
          <a:noFill/>
          <a:ln w="381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sp macro="" textlink="">
        <xdr:nvSpPr>
          <xdr:cNvPr id="102" name="Oval 101">
            <a:extLst>
              <a:ext uri="{FF2B5EF4-FFF2-40B4-BE49-F238E27FC236}">
                <a16:creationId xmlns:a16="http://schemas.microsoft.com/office/drawing/2014/main" id="{E63C6DA8-4722-44BD-9500-F3EA6ACB4BB2}"/>
              </a:ext>
            </a:extLst>
          </xdr:cNvPr>
          <xdr:cNvSpPr/>
        </xdr:nvSpPr>
        <xdr:spPr>
          <a:xfrm>
            <a:off x="2149792" y="1236345"/>
            <a:ext cx="304800" cy="314325"/>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grpSp>
    <xdr:clientData/>
  </xdr:twoCellAnchor>
  <xdr:oneCellAnchor>
    <xdr:from>
      <xdr:col>12</xdr:col>
      <xdr:colOff>476250</xdr:colOff>
      <xdr:row>3</xdr:row>
      <xdr:rowOff>158115</xdr:rowOff>
    </xdr:from>
    <xdr:ext cx="898066" cy="264560"/>
    <xdr:sp macro="" textlink="">
      <xdr:nvSpPr>
        <xdr:cNvPr id="103" name="TextBox 102">
          <a:extLst>
            <a:ext uri="{FF2B5EF4-FFF2-40B4-BE49-F238E27FC236}">
              <a16:creationId xmlns:a16="http://schemas.microsoft.com/office/drawing/2014/main" id="{EC32BE4E-A121-4F0F-8979-3270739EF0CA}"/>
            </a:ext>
          </a:extLst>
        </xdr:cNvPr>
        <xdr:cNvSpPr txBox="1"/>
      </xdr:nvSpPr>
      <xdr:spPr>
        <a:xfrm>
          <a:off x="7791450" y="701040"/>
          <a:ext cx="89806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ZA" sz="1100"/>
            <a:t>Transformer</a:t>
          </a:r>
        </a:p>
      </xdr:txBody>
    </xdr:sp>
    <xdr:clientData/>
  </xdr:oneCellAnchor>
  <xdr:oneCellAnchor>
    <xdr:from>
      <xdr:col>12</xdr:col>
      <xdr:colOff>476250</xdr:colOff>
      <xdr:row>6</xdr:row>
      <xdr:rowOff>28575</xdr:rowOff>
    </xdr:from>
    <xdr:ext cx="472437" cy="264560"/>
    <xdr:sp macro="" textlink="">
      <xdr:nvSpPr>
        <xdr:cNvPr id="104" name="TextBox 103">
          <a:extLst>
            <a:ext uri="{FF2B5EF4-FFF2-40B4-BE49-F238E27FC236}">
              <a16:creationId xmlns:a16="http://schemas.microsoft.com/office/drawing/2014/main" id="{EF7F8DA2-7C22-485E-87B9-0E7957196234}"/>
            </a:ext>
          </a:extLst>
        </xdr:cNvPr>
        <xdr:cNvSpPr txBox="1"/>
      </xdr:nvSpPr>
      <xdr:spPr>
        <a:xfrm>
          <a:off x="7791450" y="1114425"/>
          <a:ext cx="47243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ZA" sz="1100"/>
            <a:t>RMU</a:t>
          </a:r>
        </a:p>
      </xdr:txBody>
    </xdr:sp>
    <xdr:clientData/>
  </xdr:oneCellAnchor>
  <xdr:oneCellAnchor>
    <xdr:from>
      <xdr:col>12</xdr:col>
      <xdr:colOff>476250</xdr:colOff>
      <xdr:row>8</xdr:row>
      <xdr:rowOff>83820</xdr:rowOff>
    </xdr:from>
    <xdr:ext cx="2002536" cy="264560"/>
    <xdr:sp macro="" textlink="">
      <xdr:nvSpPr>
        <xdr:cNvPr id="105" name="TextBox 104">
          <a:extLst>
            <a:ext uri="{FF2B5EF4-FFF2-40B4-BE49-F238E27FC236}">
              <a16:creationId xmlns:a16="http://schemas.microsoft.com/office/drawing/2014/main" id="{DCCC1D55-1429-4411-9459-CE8351B1D5A2}"/>
            </a:ext>
          </a:extLst>
        </xdr:cNvPr>
        <xdr:cNvSpPr txBox="1"/>
      </xdr:nvSpPr>
      <xdr:spPr>
        <a:xfrm>
          <a:off x="7791450" y="1531620"/>
          <a:ext cx="200253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ZA" sz="1100"/>
            <a:t>LV Metering / distribution kiosk</a:t>
          </a:r>
        </a:p>
      </xdr:txBody>
    </xdr:sp>
    <xdr:clientData/>
  </xdr:oneCellAnchor>
  <xdr:oneCellAnchor>
    <xdr:from>
      <xdr:col>12</xdr:col>
      <xdr:colOff>476250</xdr:colOff>
      <xdr:row>10</xdr:row>
      <xdr:rowOff>45720</xdr:rowOff>
    </xdr:from>
    <xdr:ext cx="1074846" cy="264560"/>
    <xdr:sp macro="" textlink="">
      <xdr:nvSpPr>
        <xdr:cNvPr id="106" name="TextBox 105">
          <a:extLst>
            <a:ext uri="{FF2B5EF4-FFF2-40B4-BE49-F238E27FC236}">
              <a16:creationId xmlns:a16="http://schemas.microsoft.com/office/drawing/2014/main" id="{0C28B789-1F46-4780-8728-6ECED5B1605B}"/>
            </a:ext>
          </a:extLst>
        </xdr:cNvPr>
        <xdr:cNvSpPr txBox="1"/>
      </xdr:nvSpPr>
      <xdr:spPr>
        <a:xfrm>
          <a:off x="7791450" y="1855470"/>
          <a:ext cx="107484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ZA" sz="1100"/>
            <a:t>LV Pole top box</a:t>
          </a:r>
        </a:p>
      </xdr:txBody>
    </xdr:sp>
    <xdr:clientData/>
  </xdr:oneCellAnchor>
  <xdr:oneCellAnchor>
    <xdr:from>
      <xdr:col>12</xdr:col>
      <xdr:colOff>476250</xdr:colOff>
      <xdr:row>12</xdr:row>
      <xdr:rowOff>47625</xdr:rowOff>
    </xdr:from>
    <xdr:ext cx="1773755" cy="264560"/>
    <xdr:sp macro="" textlink="">
      <xdr:nvSpPr>
        <xdr:cNvPr id="107" name="TextBox 106">
          <a:extLst>
            <a:ext uri="{FF2B5EF4-FFF2-40B4-BE49-F238E27FC236}">
              <a16:creationId xmlns:a16="http://schemas.microsoft.com/office/drawing/2014/main" id="{C8A51A0C-283C-4A2C-A515-1FE7D427C7A3}"/>
            </a:ext>
          </a:extLst>
        </xdr:cNvPr>
        <xdr:cNvSpPr txBox="1"/>
      </xdr:nvSpPr>
      <xdr:spPr>
        <a:xfrm>
          <a:off x="7791450" y="2219325"/>
          <a:ext cx="177375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ZA" sz="1100"/>
            <a:t>Customer / customer group</a:t>
          </a:r>
        </a:p>
      </xdr:txBody>
    </xdr:sp>
    <xdr:clientData/>
  </xdr:oneCellAnchor>
  <xdr:twoCellAnchor>
    <xdr:from>
      <xdr:col>12</xdr:col>
      <xdr:colOff>38100</xdr:colOff>
      <xdr:row>2</xdr:row>
      <xdr:rowOff>53340</xdr:rowOff>
    </xdr:from>
    <xdr:to>
      <xdr:col>12</xdr:col>
      <xdr:colOff>476250</xdr:colOff>
      <xdr:row>2</xdr:row>
      <xdr:rowOff>53340</xdr:rowOff>
    </xdr:to>
    <xdr:cxnSp macro="">
      <xdr:nvCxnSpPr>
        <xdr:cNvPr id="108" name="Straight Connector 107">
          <a:extLst>
            <a:ext uri="{FF2B5EF4-FFF2-40B4-BE49-F238E27FC236}">
              <a16:creationId xmlns:a16="http://schemas.microsoft.com/office/drawing/2014/main" id="{ECEDBB6D-D80E-4CCB-B378-715CB649174E}"/>
            </a:ext>
          </a:extLst>
        </xdr:cNvPr>
        <xdr:cNvCxnSpPr/>
      </xdr:nvCxnSpPr>
      <xdr:spPr>
        <a:xfrm>
          <a:off x="7353300" y="415290"/>
          <a:ext cx="438150" cy="0"/>
        </a:xfrm>
        <a:prstGeom prst="line">
          <a:avLst/>
        </a:prstGeom>
        <a:ln w="3810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12</xdr:col>
      <xdr:colOff>476250</xdr:colOff>
      <xdr:row>1</xdr:row>
      <xdr:rowOff>104775</xdr:rowOff>
    </xdr:from>
    <xdr:ext cx="1031116" cy="264560"/>
    <xdr:sp macro="" textlink="">
      <xdr:nvSpPr>
        <xdr:cNvPr id="112" name="TextBox 111">
          <a:extLst>
            <a:ext uri="{FF2B5EF4-FFF2-40B4-BE49-F238E27FC236}">
              <a16:creationId xmlns:a16="http://schemas.microsoft.com/office/drawing/2014/main" id="{EC122405-45C5-4D26-831C-B453EB406CD2}"/>
            </a:ext>
          </a:extLst>
        </xdr:cNvPr>
        <xdr:cNvSpPr txBox="1"/>
      </xdr:nvSpPr>
      <xdr:spPr>
        <a:xfrm>
          <a:off x="7791450" y="285750"/>
          <a:ext cx="103111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ZA" sz="1100"/>
            <a:t>Substation</a:t>
          </a:r>
          <a:r>
            <a:rPr lang="en-ZA" sz="1100" baseline="0"/>
            <a:t> bus</a:t>
          </a:r>
          <a:endParaRPr lang="en-ZA" sz="1100"/>
        </a:p>
      </xdr:txBody>
    </xdr:sp>
    <xdr:clientData/>
  </xdr:oneCellAnchor>
  <xdr:twoCellAnchor>
    <xdr:from>
      <xdr:col>12</xdr:col>
      <xdr:colOff>197556</xdr:colOff>
      <xdr:row>14</xdr:row>
      <xdr:rowOff>114300</xdr:rowOff>
    </xdr:from>
    <xdr:to>
      <xdr:col>12</xdr:col>
      <xdr:colOff>348756</xdr:colOff>
      <xdr:row>15</xdr:row>
      <xdr:rowOff>95250</xdr:rowOff>
    </xdr:to>
    <xdr:sp macro="" textlink="">
      <xdr:nvSpPr>
        <xdr:cNvPr id="113" name="Oval 112">
          <a:extLst>
            <a:ext uri="{FF2B5EF4-FFF2-40B4-BE49-F238E27FC236}">
              <a16:creationId xmlns:a16="http://schemas.microsoft.com/office/drawing/2014/main" id="{7BF3AEE5-2649-4BFE-B88E-D506E439BA64}"/>
            </a:ext>
          </a:extLst>
        </xdr:cNvPr>
        <xdr:cNvSpPr/>
      </xdr:nvSpPr>
      <xdr:spPr>
        <a:xfrm>
          <a:off x="7512756" y="2647950"/>
          <a:ext cx="151200" cy="161925"/>
        </a:xfrm>
        <a:prstGeom prst="ellips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oneCellAnchor>
    <xdr:from>
      <xdr:col>12</xdr:col>
      <xdr:colOff>476250</xdr:colOff>
      <xdr:row>14</xdr:row>
      <xdr:rowOff>38100</xdr:rowOff>
    </xdr:from>
    <xdr:ext cx="667042" cy="264560"/>
    <xdr:sp macro="" textlink="">
      <xdr:nvSpPr>
        <xdr:cNvPr id="114" name="TextBox 113">
          <a:extLst>
            <a:ext uri="{FF2B5EF4-FFF2-40B4-BE49-F238E27FC236}">
              <a16:creationId xmlns:a16="http://schemas.microsoft.com/office/drawing/2014/main" id="{90D96C36-CB3D-4A3E-AC78-2DB42F69C29F}"/>
            </a:ext>
          </a:extLst>
        </xdr:cNvPr>
        <xdr:cNvSpPr txBox="1"/>
      </xdr:nvSpPr>
      <xdr:spPr>
        <a:xfrm>
          <a:off x="7791450" y="2571750"/>
          <a:ext cx="6670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ZA" sz="1100"/>
            <a:t>MV Pole</a:t>
          </a:r>
        </a:p>
      </xdr:txBody>
    </xdr:sp>
    <xdr:clientData/>
  </xdr:oneCellAnchor>
  <xdr:twoCellAnchor>
    <xdr:from>
      <xdr:col>12</xdr:col>
      <xdr:colOff>266223</xdr:colOff>
      <xdr:row>16</xdr:row>
      <xdr:rowOff>72390</xdr:rowOff>
    </xdr:from>
    <xdr:to>
      <xdr:col>12</xdr:col>
      <xdr:colOff>266223</xdr:colOff>
      <xdr:row>17</xdr:row>
      <xdr:rowOff>167640</xdr:rowOff>
    </xdr:to>
    <xdr:cxnSp macro="">
      <xdr:nvCxnSpPr>
        <xdr:cNvPr id="115" name="Straight Connector 114">
          <a:extLst>
            <a:ext uri="{FF2B5EF4-FFF2-40B4-BE49-F238E27FC236}">
              <a16:creationId xmlns:a16="http://schemas.microsoft.com/office/drawing/2014/main" id="{80C16A2D-467D-46E6-8E56-DC670E24EB3C}"/>
            </a:ext>
          </a:extLst>
        </xdr:cNvPr>
        <xdr:cNvCxnSpPr/>
      </xdr:nvCxnSpPr>
      <xdr:spPr>
        <a:xfrm>
          <a:off x="7581423" y="2967990"/>
          <a:ext cx="0" cy="276225"/>
        </a:xfrm>
        <a:prstGeom prst="line">
          <a:avLst/>
        </a:prstGeom>
        <a:ln>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12</xdr:col>
      <xdr:colOff>476250</xdr:colOff>
      <xdr:row>16</xdr:row>
      <xdr:rowOff>34290</xdr:rowOff>
    </xdr:from>
    <xdr:ext cx="1660583" cy="264560"/>
    <xdr:sp macro="" textlink="">
      <xdr:nvSpPr>
        <xdr:cNvPr id="117" name="TextBox 116">
          <a:extLst>
            <a:ext uri="{FF2B5EF4-FFF2-40B4-BE49-F238E27FC236}">
              <a16:creationId xmlns:a16="http://schemas.microsoft.com/office/drawing/2014/main" id="{6AA7173F-5FBD-4F81-97AA-16004A069718}"/>
            </a:ext>
          </a:extLst>
        </xdr:cNvPr>
        <xdr:cNvSpPr txBox="1"/>
      </xdr:nvSpPr>
      <xdr:spPr>
        <a:xfrm>
          <a:off x="7791450" y="2929890"/>
          <a:ext cx="166058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ZA" sz="1100"/>
            <a:t>MV Feeder (Line or cable)</a:t>
          </a:r>
        </a:p>
      </xdr:txBody>
    </xdr:sp>
    <xdr:clientData/>
  </xdr:oneCellAnchor>
  <xdr:twoCellAnchor>
    <xdr:from>
      <xdr:col>12</xdr:col>
      <xdr:colOff>275748</xdr:colOff>
      <xdr:row>18</xdr:row>
      <xdr:rowOff>121920</xdr:rowOff>
    </xdr:from>
    <xdr:to>
      <xdr:col>12</xdr:col>
      <xdr:colOff>275748</xdr:colOff>
      <xdr:row>20</xdr:row>
      <xdr:rowOff>36195</xdr:rowOff>
    </xdr:to>
    <xdr:cxnSp macro="">
      <xdr:nvCxnSpPr>
        <xdr:cNvPr id="118" name="Straight Connector 117">
          <a:extLst>
            <a:ext uri="{FF2B5EF4-FFF2-40B4-BE49-F238E27FC236}">
              <a16:creationId xmlns:a16="http://schemas.microsoft.com/office/drawing/2014/main" id="{4EB53978-D877-41E0-809C-A5C7C9CB1814}"/>
            </a:ext>
          </a:extLst>
        </xdr:cNvPr>
        <xdr:cNvCxnSpPr/>
      </xdr:nvCxnSpPr>
      <xdr:spPr>
        <a:xfrm>
          <a:off x="7590948" y="3379470"/>
          <a:ext cx="0" cy="276225"/>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12</xdr:col>
      <xdr:colOff>481965</xdr:colOff>
      <xdr:row>18</xdr:row>
      <xdr:rowOff>87630</xdr:rowOff>
    </xdr:from>
    <xdr:ext cx="1599284" cy="264560"/>
    <xdr:sp macro="" textlink="">
      <xdr:nvSpPr>
        <xdr:cNvPr id="119" name="TextBox 118">
          <a:extLst>
            <a:ext uri="{FF2B5EF4-FFF2-40B4-BE49-F238E27FC236}">
              <a16:creationId xmlns:a16="http://schemas.microsoft.com/office/drawing/2014/main" id="{6A0DEB4C-28DB-4A66-AA04-8D4449779B71}"/>
            </a:ext>
          </a:extLst>
        </xdr:cNvPr>
        <xdr:cNvSpPr txBox="1"/>
      </xdr:nvSpPr>
      <xdr:spPr>
        <a:xfrm>
          <a:off x="7797165" y="3345180"/>
          <a:ext cx="15992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ZA" sz="1100"/>
            <a:t>LV Feeder (Line or cable)</a:t>
          </a:r>
        </a:p>
      </xdr:txBody>
    </xdr:sp>
    <xdr:clientData/>
  </xdr:oneCellAnchor>
</xdr:wsDr>
</file>

<file path=xl/persons/person.xml><?xml version="1.0" encoding="utf-8"?>
<personList xmlns="http://schemas.microsoft.com/office/spreadsheetml/2018/threadedcomments" xmlns:x="http://schemas.openxmlformats.org/spreadsheetml/2006/main">
  <person displayName="Zibusiso Ndlovu" id="{C9D03148-033C-40E4-B04F-2ACF50506249}" userId="S::Zibusiso@sustainable.org.za::a9c3142c-d0e9-4733-b4ea-1f7348db7a2f"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47" dT="2026-08-12T11:42:09.67" personId="{C9D03148-033C-40E4-B04F-2ACF50506249}" id="{4E83E892-D0D1-42BD-9696-0589F7539367}">
    <text>HV cable feeder base rate, R5 000 000 per km, expressed in Dec 2016 money.
Originally embedded in E10 as =5000*1000*(1.08^5) - a flat 8% per year for 5 years, which bypassed the P0151 index. Replaced with the actual WG 162 index ratio.
Provenance inferred: the 1.08^5 carried a Dec-2016 rate forward to 2021, matching the sheet's original Aug-2021 current index. Cross-check: WG 162 at Aug-2021 was 163,4, giving R8,17m against the old formula's R7,35m - same order, the flat 8% just ran cooler than the actual index.</text>
  </threadedComment>
  <threadedComment ref="E48" dT="2026-08-12T11:42:09.68" personId="{C9D03148-033C-40E4-B04F-2ACF50506249}" id="{9DB5F49F-BB7D-4DAE-BCDC-4EF070CE5CC5}">
    <text>Uplift applied to the 11kV overhead line rate to proxy a 33kV line.
Previously hardcoded as *1.3 inside E18 with no label or source. Value unchanged - only made visible.</text>
  </threadedComment>
</ThreadedComments>
</file>

<file path=xl/threadedComments/threadedComment2.xml><?xml version="1.0" encoding="utf-8"?>
<ThreadedComments xmlns="http://schemas.microsoft.com/office/spreadsheetml/2018/threadedcomments" xmlns:x="http://schemas.openxmlformats.org/spreadsheetml/2006/main">
  <threadedComment ref="B16" dT="2026-08-12T10:19:24.39" personId="{C9D03148-033C-40E4-B04F-2ACF50506249}" id="{AC9AB0A1-C590-498E-BE7D-3EDCBA9E653B}">
    <text>DO NOT CHANGE rows 16 to 23.
These Jan-Aug 2021 indices are on the OLD Dec 2016 = 100 base and are the BASE indices that 268 rate formulas on the two detailed costing sheets look up by base date (Jan-2021).
Overwriting them causes #N/A across the workbook.</text>
  </threadedComment>
  <threadedComment ref="C24" dT="2026-08-12T10:19:24.39" personId="{C9D03148-033C-40E4-B04F-2ACF50506249}" id="{E2C257D1-D026-4086-B087-65FBA629E4EE}">
    <text>Do not type here. Formula pulling the re-based June 2026 value from E50.</text>
  </threadedComment>
  <threadedComment ref="E38" dT="2026-08-12T10:19:24.38" personId="{C9D03148-033C-40E4-B04F-2ACF50506249}" id="{CA7D5A38-1C80-4AB0-9CB4-A7FE0F8223B8}">
    <text>Overlap month. Jun-21 chosen because the guideline uses the June value.
May be changed to any month Feb-21 to Aug-21; both lookups follow.
Note: Jul-21 and Aug-21 give a factor about 0,8% lower, because the Dec 2016 base figures in rows 16-23 were revised by Stats SA after this sheet captured them. Feb-Jun are mutually consistent.</text>
  </threadedComment>
  <threadedComment ref="E43" dT="2026-08-12T10:18:54.82" personId="{C9D03148-033C-40E4-B04F-2ACF50506249}" id="{491063DC-4D55-4C82-BCA6-45CA7F6ADB16}">
    <text>Source: Stats SA, Construction Material Price Indices, December 2023 (P0151.1), Table 1 - CPAP work group indices, Base: Dec 2021=100.
Work group 160 - Electrical installations, Dec 2023 = 103,5.</text>
  </threadedComment>
  <threadedComment ref="F43" dT="2026-08-12T10:18:54.84" personId="{C9D03148-033C-40E4-B04F-2ACF50506249}" id="{69F87D94-408A-4BD5-A52D-A10E8E5670B0}">
    <text>Source: Stats SA, Construction Material Price Indices, December 2023 (P0151.1), Table 1 - CPAP work group indices, Base: Dec 2021=100.
Work group 162 - Electrical reticulation, Dec 2023 = 105,8.</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651"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809CC3A6-FA4B-44D2-BE80-6C02A49DDCDF}">
  <we:reference id="WA200009404" version="1.0.0.8" store="Omex" storeType="OMEX"/>
  <we:alternateReferences>
    <we:reference id="WA200009404" version="1.0.0.8" store="WA200009404" storeType="OMEX"/>
  </we:alternateReferences>
  <we:properties>
    <we:property name="claude.fileId" value="&quot;45f66410-4ecd-44d2-b598-95409f628f16&quot;"/>
  </we:properties>
  <we:bindings/>
  <we:snapshot xmlns:r="http://schemas.openxmlformats.org/officeDocument/2006/relationships"/>
</we:webextension>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6.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FCEF2-19FA-4B08-B75C-62930E97EA3B}">
  <dimension ref="B1:O30"/>
  <sheetViews>
    <sheetView workbookViewId="0">
      <selection activeCell="B3" sqref="B3"/>
    </sheetView>
  </sheetViews>
  <sheetFormatPr defaultRowHeight="14.4"/>
  <sheetData>
    <row r="1" spans="2:15">
      <c r="B1" s="244" t="s">
        <v>623</v>
      </c>
      <c r="C1" s="245"/>
      <c r="D1" s="245"/>
      <c r="E1" s="245"/>
      <c r="F1" s="245"/>
      <c r="G1" s="245"/>
      <c r="H1" s="245"/>
      <c r="I1" s="245"/>
      <c r="J1" s="245"/>
      <c r="K1" s="245"/>
      <c r="L1" s="245"/>
      <c r="M1" s="245"/>
      <c r="N1" s="245"/>
    </row>
    <row r="2" spans="2:15">
      <c r="B2" t="s">
        <v>647</v>
      </c>
    </row>
    <row r="4" spans="2:15">
      <c r="B4" s="243" t="s">
        <v>605</v>
      </c>
    </row>
    <row r="6" spans="2:15">
      <c r="B6" s="130"/>
      <c r="D6" t="s">
        <v>624</v>
      </c>
    </row>
    <row r="8" spans="2:15">
      <c r="B8" s="92"/>
      <c r="D8" t="s">
        <v>603</v>
      </c>
    </row>
    <row r="10" spans="2:15">
      <c r="B10" s="93"/>
      <c r="D10" t="s">
        <v>604</v>
      </c>
    </row>
    <row r="13" spans="2:15">
      <c r="B13" s="246" t="s">
        <v>606</v>
      </c>
      <c r="C13" s="247"/>
      <c r="D13" s="247"/>
      <c r="E13" s="247"/>
      <c r="F13" s="247"/>
      <c r="G13" s="247"/>
      <c r="H13" s="247"/>
      <c r="I13" s="247"/>
      <c r="J13" s="247"/>
      <c r="K13" s="247"/>
      <c r="L13" s="247"/>
      <c r="M13" s="247"/>
      <c r="N13" s="247"/>
      <c r="O13" s="247"/>
    </row>
    <row r="14" spans="2:15">
      <c r="B14" s="247"/>
      <c r="C14" s="247"/>
      <c r="D14" s="247"/>
      <c r="E14" s="247"/>
      <c r="F14" s="247"/>
      <c r="G14" s="247"/>
      <c r="H14" s="247"/>
      <c r="I14" s="247"/>
      <c r="J14" s="247"/>
      <c r="K14" s="247"/>
      <c r="L14" s="247"/>
      <c r="M14" s="247"/>
      <c r="N14" s="247"/>
      <c r="O14" s="247"/>
    </row>
    <row r="15" spans="2:15">
      <c r="B15" s="247" t="s">
        <v>607</v>
      </c>
      <c r="C15" s="247"/>
      <c r="D15" s="247"/>
      <c r="E15" s="247"/>
      <c r="F15" s="247"/>
      <c r="G15" s="247" t="s">
        <v>615</v>
      </c>
      <c r="H15" s="247"/>
      <c r="I15" s="247"/>
      <c r="J15" s="247"/>
      <c r="K15" s="247"/>
      <c r="L15" s="247"/>
      <c r="M15" s="247"/>
      <c r="N15" s="247"/>
      <c r="O15" s="247"/>
    </row>
    <row r="16" spans="2:15">
      <c r="B16" s="247"/>
      <c r="C16" s="247"/>
      <c r="D16" s="247"/>
      <c r="E16" s="247"/>
      <c r="F16" s="247"/>
      <c r="G16" s="247"/>
      <c r="H16" s="247"/>
      <c r="I16" s="247"/>
      <c r="J16" s="247"/>
      <c r="K16" s="247"/>
      <c r="L16" s="247"/>
      <c r="M16" s="247"/>
      <c r="N16" s="247"/>
      <c r="O16" s="247"/>
    </row>
    <row r="17" spans="2:15">
      <c r="B17" s="247" t="s">
        <v>608</v>
      </c>
      <c r="C17" s="247"/>
      <c r="D17" s="247"/>
      <c r="E17" s="247"/>
      <c r="F17" s="247"/>
      <c r="G17" s="247" t="s">
        <v>616</v>
      </c>
      <c r="H17" s="247"/>
      <c r="I17" s="247"/>
      <c r="J17" s="247"/>
      <c r="K17" s="247"/>
      <c r="L17" s="247"/>
      <c r="M17" s="247"/>
      <c r="N17" s="247"/>
      <c r="O17" s="247"/>
    </row>
    <row r="18" spans="2:15">
      <c r="B18" s="247"/>
      <c r="C18" s="247"/>
      <c r="D18" s="247"/>
      <c r="E18" s="247"/>
      <c r="F18" s="247"/>
      <c r="G18" s="247"/>
      <c r="H18" s="247"/>
      <c r="I18" s="247"/>
      <c r="J18" s="247"/>
      <c r="K18" s="247"/>
      <c r="L18" s="247"/>
      <c r="M18" s="247"/>
      <c r="N18" s="247"/>
      <c r="O18" s="247"/>
    </row>
    <row r="19" spans="2:15">
      <c r="B19" s="247" t="s">
        <v>609</v>
      </c>
      <c r="C19" s="247"/>
      <c r="D19" s="247"/>
      <c r="E19" s="247"/>
      <c r="F19" s="247"/>
      <c r="G19" s="247" t="s">
        <v>617</v>
      </c>
      <c r="H19" s="247"/>
      <c r="I19" s="247"/>
      <c r="J19" s="247"/>
      <c r="K19" s="247"/>
      <c r="L19" s="247"/>
      <c r="M19" s="247"/>
      <c r="N19" s="247"/>
      <c r="O19" s="247"/>
    </row>
    <row r="20" spans="2:15">
      <c r="B20" s="247"/>
      <c r="C20" s="247"/>
      <c r="D20" s="247"/>
      <c r="E20" s="247"/>
      <c r="F20" s="247"/>
      <c r="G20" s="247"/>
      <c r="H20" s="247"/>
      <c r="I20" s="247"/>
      <c r="J20" s="247"/>
      <c r="K20" s="247"/>
      <c r="L20" s="247"/>
      <c r="M20" s="247"/>
      <c r="N20" s="247"/>
      <c r="O20" s="247"/>
    </row>
    <row r="21" spans="2:15">
      <c r="B21" s="247" t="s">
        <v>610</v>
      </c>
      <c r="C21" s="247"/>
      <c r="D21" s="247"/>
      <c r="E21" s="247"/>
      <c r="F21" s="247"/>
      <c r="G21" s="247" t="s">
        <v>618</v>
      </c>
      <c r="H21" s="247"/>
      <c r="I21" s="247"/>
      <c r="J21" s="247"/>
      <c r="K21" s="247"/>
      <c r="L21" s="247"/>
      <c r="M21" s="247"/>
      <c r="N21" s="247"/>
      <c r="O21" s="247"/>
    </row>
    <row r="22" spans="2:15">
      <c r="B22" s="247"/>
      <c r="C22" s="247"/>
      <c r="D22" s="247"/>
      <c r="E22" s="247"/>
      <c r="F22" s="247"/>
      <c r="G22" s="247"/>
      <c r="H22" s="247"/>
      <c r="I22" s="247"/>
      <c r="J22" s="247"/>
      <c r="K22" s="247"/>
      <c r="L22" s="247"/>
      <c r="M22" s="247"/>
      <c r="N22" s="247"/>
      <c r="O22" s="247"/>
    </row>
    <row r="23" spans="2:15">
      <c r="B23" s="247" t="s">
        <v>611</v>
      </c>
      <c r="C23" s="247"/>
      <c r="D23" s="247"/>
      <c r="E23" s="247"/>
      <c r="F23" s="247"/>
      <c r="G23" s="247" t="s">
        <v>619</v>
      </c>
      <c r="H23" s="247"/>
      <c r="I23" s="247"/>
      <c r="J23" s="247"/>
      <c r="K23" s="247"/>
      <c r="L23" s="247"/>
      <c r="M23" s="247"/>
      <c r="N23" s="247"/>
      <c r="O23" s="247"/>
    </row>
    <row r="24" spans="2:15">
      <c r="B24" s="247"/>
      <c r="C24" s="247"/>
      <c r="D24" s="247"/>
      <c r="E24" s="247"/>
      <c r="F24" s="247"/>
      <c r="G24" s="247"/>
      <c r="H24" s="247"/>
      <c r="I24" s="247"/>
      <c r="J24" s="247"/>
      <c r="K24" s="247"/>
      <c r="L24" s="247"/>
      <c r="M24" s="247"/>
      <c r="N24" s="247"/>
      <c r="O24" s="247"/>
    </row>
    <row r="25" spans="2:15">
      <c r="B25" s="247" t="s">
        <v>612</v>
      </c>
      <c r="C25" s="247"/>
      <c r="D25" s="247"/>
      <c r="E25" s="247"/>
      <c r="F25" s="247"/>
      <c r="G25" s="247" t="s">
        <v>620</v>
      </c>
      <c r="H25" s="247"/>
      <c r="I25" s="247"/>
      <c r="J25" s="247"/>
      <c r="K25" s="247"/>
      <c r="L25" s="247"/>
      <c r="M25" s="247"/>
      <c r="N25" s="247"/>
      <c r="O25" s="247"/>
    </row>
    <row r="26" spans="2:15">
      <c r="B26" s="247"/>
      <c r="C26" s="247"/>
      <c r="D26" s="247"/>
      <c r="E26" s="247"/>
      <c r="F26" s="247"/>
      <c r="G26" s="247"/>
      <c r="H26" s="247"/>
      <c r="I26" s="247"/>
      <c r="J26" s="247"/>
      <c r="K26" s="247"/>
      <c r="L26" s="247"/>
      <c r="M26" s="247"/>
      <c r="N26" s="247"/>
      <c r="O26" s="247"/>
    </row>
    <row r="27" spans="2:15">
      <c r="B27" s="247" t="s">
        <v>613</v>
      </c>
      <c r="C27" s="247"/>
      <c r="D27" s="247"/>
      <c r="E27" s="247"/>
      <c r="F27" s="247"/>
      <c r="G27" s="247" t="s">
        <v>621</v>
      </c>
      <c r="H27" s="247"/>
      <c r="I27" s="247"/>
      <c r="J27" s="247"/>
      <c r="K27" s="247"/>
      <c r="L27" s="247"/>
      <c r="M27" s="247"/>
      <c r="N27" s="247"/>
      <c r="O27" s="247"/>
    </row>
    <row r="28" spans="2:15">
      <c r="B28" s="247"/>
      <c r="C28" s="247"/>
      <c r="D28" s="247"/>
      <c r="E28" s="247"/>
      <c r="F28" s="247"/>
      <c r="G28" s="247"/>
      <c r="H28" s="247"/>
      <c r="I28" s="247"/>
      <c r="J28" s="247"/>
      <c r="K28" s="247"/>
      <c r="L28" s="247"/>
      <c r="M28" s="247"/>
      <c r="N28" s="247"/>
      <c r="O28" s="247"/>
    </row>
    <row r="29" spans="2:15">
      <c r="B29" s="247" t="s">
        <v>614</v>
      </c>
      <c r="C29" s="247"/>
      <c r="D29" s="247"/>
      <c r="E29" s="247"/>
      <c r="F29" s="247"/>
      <c r="G29" s="247" t="s">
        <v>622</v>
      </c>
      <c r="H29" s="247"/>
      <c r="I29" s="247"/>
      <c r="J29" s="247"/>
      <c r="K29" s="247"/>
      <c r="L29" s="247"/>
      <c r="M29" s="247"/>
      <c r="N29" s="247"/>
      <c r="O29" s="247"/>
    </row>
    <row r="30" spans="2:15">
      <c r="B30" s="247"/>
      <c r="C30" s="247"/>
      <c r="D30" s="247"/>
      <c r="E30" s="247"/>
      <c r="F30" s="247"/>
      <c r="G30" s="247"/>
      <c r="H30" s="247"/>
      <c r="I30" s="247"/>
      <c r="J30" s="247"/>
      <c r="K30" s="247"/>
      <c r="L30" s="247"/>
      <c r="M30" s="247"/>
      <c r="N30" s="247"/>
      <c r="O30" s="24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467F2-37CB-41E7-BAB7-C67306D2300B}">
  <dimension ref="A1"/>
  <sheetViews>
    <sheetView zoomScale="85" zoomScaleNormal="85" workbookViewId="0">
      <selection activeCell="F8" sqref="F8"/>
    </sheetView>
  </sheetViews>
  <sheetFormatPr defaultRowHeight="14.4"/>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2"/>
  <sheetViews>
    <sheetView tabSelected="1" zoomScale="130" workbookViewId="0">
      <selection activeCell="J7" sqref="J7"/>
    </sheetView>
  </sheetViews>
  <sheetFormatPr defaultColWidth="8.88671875" defaultRowHeight="14.4"/>
  <cols>
    <col min="1" max="1" width="5.6640625" style="85" customWidth="1"/>
    <col min="2" max="2" width="65.44140625" style="9" bestFit="1" customWidth="1"/>
    <col min="3" max="3" width="12.44140625" style="9" bestFit="1" customWidth="1"/>
    <col min="4" max="4" width="11.33203125" style="9" customWidth="1"/>
    <col min="5" max="5" width="12" style="9" customWidth="1"/>
    <col min="6" max="6" width="12.44140625" style="9" bestFit="1" customWidth="1"/>
    <col min="7" max="7" width="11.88671875" style="9" customWidth="1"/>
    <col min="8" max="8" width="11.6640625" style="9" bestFit="1" customWidth="1"/>
    <col min="9" max="11" width="10.6640625" style="9" bestFit="1" customWidth="1"/>
    <col min="12" max="12" width="10.44140625" style="9" bestFit="1" customWidth="1"/>
    <col min="13" max="16384" width="8.88671875" style="9"/>
  </cols>
  <sheetData>
    <row r="1" spans="1:8" ht="23.4">
      <c r="B1" s="88" t="str">
        <f>C5</f>
        <v>XYZ LOCAL MUNICIPALITY</v>
      </c>
    </row>
    <row r="2" spans="1:8" ht="23.4">
      <c r="B2" s="16" t="s">
        <v>0</v>
      </c>
    </row>
    <row r="3" spans="1:8" ht="23.4">
      <c r="B3" s="16" t="s">
        <v>1</v>
      </c>
    </row>
    <row r="4" spans="1:8" ht="23.4">
      <c r="B4" s="16"/>
    </row>
    <row r="5" spans="1:8">
      <c r="A5" s="85">
        <v>1</v>
      </c>
      <c r="B5" s="84" t="s">
        <v>2</v>
      </c>
      <c r="C5" s="254" t="s">
        <v>3</v>
      </c>
      <c r="D5" s="254"/>
      <c r="E5" s="254"/>
      <c r="F5" s="254"/>
    </row>
    <row r="7" spans="1:8">
      <c r="A7" s="85">
        <v>2</v>
      </c>
      <c r="B7" s="83" t="s">
        <v>4</v>
      </c>
      <c r="C7" s="83"/>
      <c r="D7" s="83"/>
      <c r="E7" s="83"/>
      <c r="F7" s="83"/>
    </row>
    <row r="8" spans="1:8">
      <c r="B8" s="84" t="s">
        <v>5</v>
      </c>
      <c r="C8" s="323">
        <v>1</v>
      </c>
      <c r="D8" s="323">
        <v>2</v>
      </c>
      <c r="E8" s="323">
        <v>3</v>
      </c>
      <c r="F8" s="323">
        <v>4</v>
      </c>
      <c r="G8" s="323">
        <v>5</v>
      </c>
      <c r="H8" s="89" t="s">
        <v>10</v>
      </c>
    </row>
    <row r="9" spans="1:8">
      <c r="B9" s="84" t="s">
        <v>6</v>
      </c>
      <c r="C9" s="120"/>
      <c r="D9" s="120"/>
      <c r="E9" s="120"/>
      <c r="F9" s="120"/>
      <c r="G9" s="120"/>
      <c r="H9" s="121"/>
    </row>
    <row r="10" spans="1:8">
      <c r="B10" s="84" t="s">
        <v>7</v>
      </c>
      <c r="C10" s="120"/>
      <c r="D10" s="120"/>
      <c r="E10" s="120"/>
      <c r="F10" s="120"/>
      <c r="G10" s="120"/>
      <c r="H10" s="90">
        <f>SUM(C10:G10)</f>
        <v>0</v>
      </c>
    </row>
    <row r="11" spans="1:8">
      <c r="B11" s="84" t="s">
        <v>8</v>
      </c>
      <c r="C11" s="120"/>
      <c r="D11" s="120"/>
      <c r="E11" s="120"/>
      <c r="F11" s="120"/>
      <c r="G11" s="120"/>
      <c r="H11" s="90">
        <f t="shared" ref="H11:H12" si="0">SUM(C11:G11)</f>
        <v>0</v>
      </c>
    </row>
    <row r="12" spans="1:8">
      <c r="B12" s="84" t="s">
        <v>9</v>
      </c>
      <c r="C12" s="120"/>
      <c r="D12" s="120"/>
      <c r="E12" s="120"/>
      <c r="F12" s="120"/>
      <c r="G12" s="120"/>
      <c r="H12" s="90">
        <f t="shared" si="0"/>
        <v>0</v>
      </c>
    </row>
    <row r="13" spans="1:8">
      <c r="B13" s="107"/>
      <c r="C13" s="118"/>
      <c r="D13" s="119"/>
      <c r="E13" s="119"/>
      <c r="F13" s="119"/>
    </row>
    <row r="15" spans="1:8">
      <c r="A15" s="85">
        <v>3</v>
      </c>
      <c r="B15" s="83" t="s">
        <v>27</v>
      </c>
      <c r="C15" s="83"/>
      <c r="D15" s="99" t="s">
        <v>28</v>
      </c>
    </row>
    <row r="16" spans="1:8" ht="43.2">
      <c r="B16" s="71" t="s">
        <v>27</v>
      </c>
      <c r="C16" s="84" t="s">
        <v>511</v>
      </c>
      <c r="D16" s="84" t="s">
        <v>512</v>
      </c>
      <c r="E16" s="84" t="s">
        <v>513</v>
      </c>
      <c r="F16" s="84" t="s">
        <v>514</v>
      </c>
      <c r="G16" s="84" t="s">
        <v>515</v>
      </c>
    </row>
    <row r="17" spans="1:7">
      <c r="A17" s="68"/>
      <c r="B17" s="1" t="s">
        <v>555</v>
      </c>
      <c r="C17" s="120"/>
      <c r="D17" s="120"/>
      <c r="E17" s="120"/>
      <c r="F17" s="120"/>
      <c r="G17" s="120"/>
    </row>
    <row r="18" spans="1:7">
      <c r="A18" s="68"/>
      <c r="B18" s="1" t="s">
        <v>556</v>
      </c>
      <c r="C18" s="120"/>
      <c r="D18" s="120"/>
      <c r="E18" s="120"/>
      <c r="F18" s="120"/>
      <c r="G18" s="120"/>
    </row>
    <row r="19" spans="1:7">
      <c r="A19" s="67"/>
      <c r="B19" s="1" t="s">
        <v>557</v>
      </c>
      <c r="C19" s="120"/>
      <c r="D19" s="120"/>
      <c r="E19" s="120"/>
      <c r="F19" s="120"/>
      <c r="G19" s="120"/>
    </row>
    <row r="20" spans="1:7">
      <c r="A20" s="67"/>
      <c r="B20" s="1" t="s">
        <v>519</v>
      </c>
      <c r="C20" s="120"/>
      <c r="D20" s="120"/>
      <c r="E20" s="120"/>
      <c r="F20" s="120"/>
      <c r="G20" s="120"/>
    </row>
    <row r="21" spans="1:7">
      <c r="A21" s="67"/>
      <c r="B21" s="1" t="s">
        <v>518</v>
      </c>
      <c r="C21" s="120"/>
      <c r="D21" s="120"/>
      <c r="E21" s="120"/>
      <c r="F21" s="120"/>
      <c r="G21" s="120"/>
    </row>
    <row r="22" spans="1:7">
      <c r="A22" s="67"/>
      <c r="B22" s="1" t="s">
        <v>542</v>
      </c>
      <c r="C22" s="120"/>
      <c r="D22" s="120"/>
      <c r="E22" s="120"/>
      <c r="F22" s="120"/>
      <c r="G22" s="120"/>
    </row>
    <row r="23" spans="1:7">
      <c r="A23" s="67"/>
      <c r="B23" s="1" t="s">
        <v>541</v>
      </c>
      <c r="C23" s="120"/>
      <c r="D23" s="120"/>
      <c r="E23" s="120"/>
      <c r="F23" s="120"/>
      <c r="G23" s="120"/>
    </row>
    <row r="24" spans="1:7">
      <c r="A24" s="68"/>
      <c r="B24" s="1" t="s">
        <v>517</v>
      </c>
      <c r="C24" s="120"/>
      <c r="D24" s="120"/>
      <c r="E24" s="120"/>
      <c r="F24" s="120"/>
      <c r="G24" s="120"/>
    </row>
    <row r="25" spans="1:7">
      <c r="A25" s="68"/>
      <c r="B25" s="1" t="s">
        <v>516</v>
      </c>
      <c r="C25" s="120"/>
      <c r="D25" s="120"/>
      <c r="E25" s="120"/>
      <c r="F25" s="120"/>
      <c r="G25" s="120"/>
    </row>
    <row r="26" spans="1:7">
      <c r="A26" s="68"/>
      <c r="B26" s="1" t="s">
        <v>520</v>
      </c>
      <c r="C26" s="120"/>
      <c r="D26" s="120"/>
      <c r="E26" s="120"/>
      <c r="F26" s="120"/>
      <c r="G26" s="120"/>
    </row>
    <row r="27" spans="1:7">
      <c r="A27" s="68"/>
      <c r="B27" s="1" t="s">
        <v>521</v>
      </c>
      <c r="C27" s="120"/>
      <c r="D27" s="120"/>
      <c r="E27" s="120"/>
      <c r="F27" s="120"/>
      <c r="G27" s="120"/>
    </row>
    <row r="28" spans="1:7">
      <c r="A28" s="68"/>
      <c r="B28" s="1" t="s">
        <v>558</v>
      </c>
      <c r="C28" s="120"/>
      <c r="D28" s="120"/>
      <c r="E28" s="120"/>
      <c r="F28" s="120"/>
      <c r="G28" s="120"/>
    </row>
    <row r="29" spans="1:7">
      <c r="A29" s="68"/>
      <c r="B29" s="1" t="s">
        <v>532</v>
      </c>
      <c r="C29" s="120"/>
      <c r="D29" s="120"/>
      <c r="E29" s="120"/>
      <c r="F29" s="120"/>
      <c r="G29" s="120"/>
    </row>
    <row r="30" spans="1:7">
      <c r="A30" s="68"/>
      <c r="B30" s="1" t="s">
        <v>531</v>
      </c>
      <c r="C30" s="120"/>
      <c r="D30" s="120"/>
      <c r="E30" s="120"/>
      <c r="F30" s="120"/>
      <c r="G30" s="120"/>
    </row>
    <row r="31" spans="1:7">
      <c r="A31" s="68"/>
      <c r="B31" s="1" t="s">
        <v>29</v>
      </c>
      <c r="C31" s="120"/>
      <c r="D31" s="120"/>
      <c r="E31" s="120"/>
      <c r="F31" s="120"/>
      <c r="G31" s="120"/>
    </row>
    <row r="32" spans="1:7">
      <c r="A32" s="69"/>
      <c r="B32" s="1" t="s">
        <v>30</v>
      </c>
      <c r="C32" s="120"/>
      <c r="D32" s="120"/>
      <c r="E32" s="120"/>
      <c r="F32" s="120"/>
      <c r="G32" s="120"/>
    </row>
    <row r="33" spans="1:7">
      <c r="A33" s="69"/>
      <c r="B33" s="1" t="s">
        <v>31</v>
      </c>
      <c r="C33" s="120"/>
      <c r="D33" s="120"/>
      <c r="E33" s="120"/>
      <c r="F33" s="120"/>
      <c r="G33" s="120"/>
    </row>
    <row r="34" spans="1:7">
      <c r="A34" s="69"/>
      <c r="B34" s="1" t="s">
        <v>32</v>
      </c>
      <c r="C34" s="120"/>
      <c r="D34" s="120"/>
      <c r="E34" s="120"/>
      <c r="F34" s="120"/>
      <c r="G34" s="120"/>
    </row>
    <row r="35" spans="1:7">
      <c r="A35" s="69"/>
      <c r="B35" s="1" t="s">
        <v>33</v>
      </c>
      <c r="C35" s="120"/>
      <c r="D35" s="120"/>
      <c r="E35" s="120"/>
      <c r="F35" s="120"/>
      <c r="G35" s="120"/>
    </row>
    <row r="36" spans="1:7">
      <c r="A36" s="67"/>
      <c r="B36" s="1" t="s">
        <v>34</v>
      </c>
      <c r="C36" s="120"/>
      <c r="D36" s="120"/>
      <c r="E36" s="120"/>
      <c r="F36" s="120"/>
      <c r="G36" s="120"/>
    </row>
    <row r="37" spans="1:7">
      <c r="A37" s="68"/>
      <c r="B37" s="1" t="s">
        <v>35</v>
      </c>
      <c r="C37" s="120"/>
      <c r="D37" s="120"/>
      <c r="E37" s="120"/>
      <c r="F37" s="120"/>
      <c r="G37" s="120"/>
    </row>
    <row r="38" spans="1:7">
      <c r="A38" s="69"/>
      <c r="B38" s="1" t="s">
        <v>36</v>
      </c>
      <c r="C38" s="120"/>
      <c r="D38" s="120"/>
      <c r="E38" s="120"/>
      <c r="F38" s="120"/>
      <c r="G38" s="120"/>
    </row>
    <row r="39" spans="1:7">
      <c r="A39" s="69"/>
      <c r="B39" s="1" t="s">
        <v>534</v>
      </c>
      <c r="C39" s="120"/>
      <c r="D39" s="120"/>
      <c r="E39" s="120"/>
      <c r="F39" s="120"/>
      <c r="G39" s="120"/>
    </row>
    <row r="40" spans="1:7">
      <c r="A40" s="69"/>
      <c r="B40" s="1" t="s">
        <v>533</v>
      </c>
      <c r="C40" s="120"/>
      <c r="D40" s="120"/>
      <c r="E40" s="120"/>
      <c r="F40" s="120"/>
      <c r="G40" s="120"/>
    </row>
    <row r="41" spans="1:7">
      <c r="B41" s="146"/>
      <c r="C41" s="147"/>
      <c r="D41" s="145"/>
      <c r="E41" s="145"/>
      <c r="F41" s="145"/>
      <c r="G41" s="145"/>
    </row>
    <row r="43" spans="1:7">
      <c r="A43" s="85">
        <v>4</v>
      </c>
      <c r="B43" s="83" t="s">
        <v>554</v>
      </c>
      <c r="C43" s="83"/>
      <c r="D43" s="83"/>
    </row>
    <row r="44" spans="1:7">
      <c r="B44" s="84" t="s">
        <v>5</v>
      </c>
      <c r="C44" s="12">
        <v>1</v>
      </c>
      <c r="D44" s="12">
        <v>2</v>
      </c>
      <c r="E44" s="12">
        <v>3</v>
      </c>
      <c r="F44" s="12">
        <v>4</v>
      </c>
      <c r="G44" s="12">
        <v>5</v>
      </c>
    </row>
    <row r="45" spans="1:7">
      <c r="B45" s="84" t="s">
        <v>11</v>
      </c>
      <c r="C45" s="13"/>
      <c r="D45" s="13"/>
      <c r="E45" s="13"/>
      <c r="F45" s="13"/>
      <c r="G45" s="13"/>
    </row>
    <row r="46" spans="1:7">
      <c r="B46" s="84" t="s">
        <v>12</v>
      </c>
      <c r="C46" s="13"/>
      <c r="D46" s="13"/>
      <c r="E46" s="13"/>
      <c r="F46" s="13"/>
      <c r="G46" s="13"/>
    </row>
    <row r="48" spans="1:7">
      <c r="B48" s="141" t="s">
        <v>530</v>
      </c>
    </row>
    <row r="49" spans="1:11">
      <c r="A49" s="85">
        <v>5</v>
      </c>
      <c r="B49" s="83" t="s">
        <v>13</v>
      </c>
      <c r="C49" s="83"/>
      <c r="D49" s="83"/>
      <c r="E49" s="83"/>
      <c r="F49" s="83"/>
      <c r="G49" s="83" t="s">
        <v>14</v>
      </c>
      <c r="H49" s="83"/>
      <c r="I49" s="83"/>
      <c r="J49" s="83"/>
    </row>
    <row r="50" spans="1:11" ht="86.4">
      <c r="B50" s="71" t="s">
        <v>15</v>
      </c>
      <c r="C50" s="84" t="s">
        <v>16</v>
      </c>
      <c r="D50" s="84" t="s">
        <v>17</v>
      </c>
      <c r="E50" s="84" t="s">
        <v>18</v>
      </c>
      <c r="F50" s="84" t="s">
        <v>19</v>
      </c>
      <c r="G50" s="84" t="s">
        <v>553</v>
      </c>
      <c r="H50" s="84" t="s">
        <v>21</v>
      </c>
      <c r="I50" s="84" t="s">
        <v>22</v>
      </c>
      <c r="J50" s="84" t="s">
        <v>23</v>
      </c>
      <c r="K50" s="86" t="s">
        <v>24</v>
      </c>
    </row>
    <row r="51" spans="1:11">
      <c r="B51" s="2"/>
      <c r="C51" s="3"/>
      <c r="D51" s="3"/>
      <c r="E51" s="4"/>
      <c r="F51" s="4"/>
      <c r="G51" s="10"/>
      <c r="H51" s="10"/>
      <c r="I51" s="10"/>
      <c r="J51" s="10"/>
      <c r="K51" s="86"/>
    </row>
    <row r="52" spans="1:11">
      <c r="B52" s="5"/>
      <c r="C52" s="3"/>
      <c r="D52" s="3"/>
      <c r="E52" s="4"/>
      <c r="F52" s="4"/>
      <c r="G52" s="10"/>
      <c r="H52" s="10"/>
      <c r="I52" s="10"/>
      <c r="J52" s="10"/>
      <c r="K52" s="86"/>
    </row>
    <row r="53" spans="1:11">
      <c r="B53" s="5"/>
      <c r="C53" s="3"/>
      <c r="D53" s="3"/>
      <c r="E53" s="4"/>
      <c r="F53" s="4"/>
      <c r="G53" s="10"/>
      <c r="H53" s="10"/>
      <c r="I53" s="10"/>
      <c r="J53" s="10"/>
      <c r="K53" s="86"/>
    </row>
    <row r="54" spans="1:11">
      <c r="B54" s="5"/>
      <c r="C54" s="3"/>
      <c r="D54" s="3"/>
      <c r="E54" s="4"/>
      <c r="F54" s="4"/>
      <c r="G54" s="10"/>
      <c r="H54" s="10"/>
      <c r="I54" s="10"/>
      <c r="J54" s="10"/>
      <c r="K54" s="86"/>
    </row>
    <row r="55" spans="1:11">
      <c r="B55" s="6"/>
      <c r="C55" s="3"/>
      <c r="D55" s="3"/>
      <c r="E55" s="4"/>
      <c r="F55" s="7"/>
      <c r="G55" s="10"/>
      <c r="H55" s="10"/>
      <c r="I55" s="10"/>
      <c r="J55" s="10"/>
      <c r="K55" s="86"/>
    </row>
    <row r="56" spans="1:11" ht="19.95" customHeight="1">
      <c r="B56" s="5"/>
      <c r="C56" s="3"/>
      <c r="D56" s="3"/>
      <c r="E56" s="4"/>
      <c r="F56" s="4"/>
      <c r="G56" s="10"/>
      <c r="H56" s="10"/>
      <c r="I56" s="10"/>
      <c r="J56" s="10"/>
      <c r="K56" s="86"/>
    </row>
    <row r="57" spans="1:11">
      <c r="B57" s="5"/>
      <c r="C57" s="3"/>
      <c r="D57" s="3"/>
      <c r="E57" s="4"/>
      <c r="F57" s="4"/>
      <c r="G57" s="10"/>
      <c r="H57" s="10"/>
      <c r="I57" s="10"/>
      <c r="J57" s="10"/>
      <c r="K57" s="86"/>
    </row>
    <row r="58" spans="1:11">
      <c r="B58" s="5"/>
      <c r="C58" s="8"/>
      <c r="D58" s="3"/>
      <c r="E58" s="4"/>
      <c r="F58" s="4"/>
      <c r="G58" s="11"/>
      <c r="H58" s="11"/>
      <c r="I58" s="11"/>
      <c r="J58" s="11"/>
      <c r="K58" s="87"/>
    </row>
    <row r="59" spans="1:11">
      <c r="B59" s="5"/>
      <c r="C59" s="8"/>
      <c r="D59" s="3"/>
      <c r="E59" s="4"/>
      <c r="F59" s="4"/>
      <c r="G59" s="11"/>
      <c r="H59" s="11"/>
      <c r="I59" s="11"/>
      <c r="J59" s="11"/>
      <c r="K59" s="87"/>
    </row>
    <row r="60" spans="1:11">
      <c r="B60" s="5"/>
      <c r="C60" s="3"/>
      <c r="D60" s="3"/>
      <c r="E60" s="4"/>
      <c r="F60" s="4"/>
      <c r="G60" s="11"/>
      <c r="H60" s="11"/>
      <c r="I60" s="11"/>
      <c r="J60" s="11"/>
      <c r="K60" s="87"/>
    </row>
    <row r="61" spans="1:11">
      <c r="B61" s="5"/>
      <c r="C61" s="3"/>
      <c r="D61" s="3"/>
      <c r="E61" s="4"/>
      <c r="F61" s="4"/>
      <c r="G61" s="11"/>
      <c r="H61" s="11"/>
      <c r="I61" s="11"/>
      <c r="J61" s="11"/>
      <c r="K61" s="87"/>
    </row>
    <row r="62" spans="1:11">
      <c r="B62" s="5"/>
      <c r="C62" s="3"/>
      <c r="D62" s="3"/>
      <c r="E62" s="4"/>
      <c r="F62" s="4"/>
      <c r="G62" s="11"/>
      <c r="H62" s="11"/>
      <c r="I62" s="11"/>
      <c r="J62" s="11"/>
      <c r="K62" s="87"/>
    </row>
  </sheetData>
  <protectedRanges>
    <protectedRange sqref="B51:F62" name="Range3_1"/>
  </protectedRanges>
  <mergeCells count="1">
    <mergeCell ref="C5:F5"/>
  </mergeCells>
  <phoneticPr fontId="28" type="noConversion"/>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B24F3-CDFD-4D79-8DCE-609345A0556C}">
  <dimension ref="A1:X67"/>
  <sheetViews>
    <sheetView topLeftCell="A2" zoomScale="68" workbookViewId="0">
      <selection activeCell="G13" sqref="G13"/>
    </sheetView>
  </sheetViews>
  <sheetFormatPr defaultRowHeight="14.4"/>
  <cols>
    <col min="1" max="1" width="4.109375" style="155" customWidth="1"/>
    <col min="2" max="2" width="35.6640625" customWidth="1"/>
    <col min="3" max="3" width="35.6640625" style="127" customWidth="1"/>
    <col min="4" max="4" width="15.6640625" style="127" customWidth="1"/>
    <col min="5" max="5" width="10.109375" customWidth="1"/>
    <col min="6" max="6" width="9.88671875" customWidth="1"/>
    <col min="7" max="7" width="10.33203125" bestFit="1" customWidth="1"/>
    <col min="8" max="8" width="12.5546875" bestFit="1" customWidth="1"/>
    <col min="9" max="9" width="10.109375" customWidth="1"/>
    <col min="10" max="10" width="9.88671875" customWidth="1"/>
    <col min="11" max="11" width="10.33203125" bestFit="1" customWidth="1"/>
    <col min="12" max="12" width="12.5546875" bestFit="1" customWidth="1"/>
    <col min="14" max="14" width="10.44140625" customWidth="1"/>
    <col min="18" max="18" width="10.6640625" customWidth="1"/>
    <col min="22" max="22" width="10.44140625" customWidth="1"/>
  </cols>
  <sheetData>
    <row r="1" spans="1:24" s="9" customFormat="1" ht="23.4">
      <c r="A1" s="85"/>
      <c r="B1" s="88" t="str">
        <f>'1. Inputs'!B1</f>
        <v>XYZ LOCAL MUNICIPALITY</v>
      </c>
      <c r="C1" s="124"/>
      <c r="D1" s="124"/>
    </row>
    <row r="2" spans="1:24" s="9" customFormat="1" ht="23.4">
      <c r="A2" s="85"/>
      <c r="B2" s="16" t="s">
        <v>0</v>
      </c>
      <c r="C2" s="125"/>
      <c r="D2" s="125"/>
    </row>
    <row r="3" spans="1:24" ht="23.4">
      <c r="B3" s="16" t="s">
        <v>578</v>
      </c>
      <c r="C3" s="125"/>
      <c r="D3" s="125"/>
    </row>
    <row r="5" spans="1:24" ht="15" thickBot="1">
      <c r="B5" s="83" t="s">
        <v>577</v>
      </c>
      <c r="C5" s="126"/>
      <c r="D5" s="126"/>
      <c r="E5" s="82"/>
      <c r="F5" s="82"/>
      <c r="G5" s="82"/>
      <c r="H5" s="82"/>
      <c r="I5" s="82"/>
      <c r="J5" s="82"/>
      <c r="K5" s="82"/>
      <c r="L5" s="82"/>
      <c r="M5" s="152"/>
      <c r="N5" s="152"/>
      <c r="O5" s="152"/>
      <c r="P5" s="152"/>
      <c r="Q5" s="152"/>
      <c r="R5" s="152"/>
      <c r="S5" s="152"/>
      <c r="T5" s="152"/>
      <c r="U5" s="152"/>
      <c r="V5" s="152"/>
      <c r="W5" s="152"/>
      <c r="X5" s="152"/>
    </row>
    <row r="6" spans="1:24" ht="28.95" customHeight="1">
      <c r="B6" s="260" t="s">
        <v>37</v>
      </c>
      <c r="C6" s="258" t="s">
        <v>523</v>
      </c>
      <c r="D6" s="135" t="s">
        <v>529</v>
      </c>
      <c r="E6" s="255" t="s">
        <v>527</v>
      </c>
      <c r="F6" s="256"/>
      <c r="G6" s="256"/>
      <c r="H6" s="257"/>
      <c r="I6" s="255" t="s">
        <v>528</v>
      </c>
      <c r="J6" s="256"/>
      <c r="K6" s="256"/>
      <c r="L6" s="257"/>
      <c r="M6" s="255" t="s">
        <v>524</v>
      </c>
      <c r="N6" s="256"/>
      <c r="O6" s="256"/>
      <c r="P6" s="257"/>
      <c r="Q6" s="255" t="s">
        <v>525</v>
      </c>
      <c r="R6" s="256"/>
      <c r="S6" s="256"/>
      <c r="T6" s="257"/>
      <c r="U6" s="255" t="s">
        <v>526</v>
      </c>
      <c r="V6" s="256"/>
      <c r="W6" s="256"/>
      <c r="X6" s="257"/>
    </row>
    <row r="7" spans="1:24" ht="28.8">
      <c r="B7" s="261"/>
      <c r="C7" s="259"/>
      <c r="D7" s="136" t="s">
        <v>575</v>
      </c>
      <c r="E7" s="139" t="s">
        <v>38</v>
      </c>
      <c r="F7" s="84" t="s">
        <v>39</v>
      </c>
      <c r="G7" s="84" t="s">
        <v>40</v>
      </c>
      <c r="H7" s="140" t="s">
        <v>576</v>
      </c>
      <c r="I7" s="139" t="s">
        <v>38</v>
      </c>
      <c r="J7" s="84" t="s">
        <v>39</v>
      </c>
      <c r="K7" s="84" t="s">
        <v>40</v>
      </c>
      <c r="L7" s="140" t="s">
        <v>576</v>
      </c>
      <c r="M7" s="139" t="s">
        <v>38</v>
      </c>
      <c r="N7" s="84" t="s">
        <v>39</v>
      </c>
      <c r="O7" s="84" t="s">
        <v>40</v>
      </c>
      <c r="P7" s="140" t="s">
        <v>576</v>
      </c>
      <c r="Q7" s="139" t="s">
        <v>38</v>
      </c>
      <c r="R7" s="84" t="s">
        <v>39</v>
      </c>
      <c r="S7" s="84" t="s">
        <v>40</v>
      </c>
      <c r="T7" s="140" t="s">
        <v>576</v>
      </c>
      <c r="U7" s="139" t="s">
        <v>38</v>
      </c>
      <c r="V7" s="84" t="s">
        <v>39</v>
      </c>
      <c r="W7" s="84" t="s">
        <v>40</v>
      </c>
      <c r="X7" s="140" t="s">
        <v>576</v>
      </c>
    </row>
    <row r="8" spans="1:24">
      <c r="A8" s="155">
        <v>1</v>
      </c>
      <c r="B8" s="148" t="s">
        <v>41</v>
      </c>
      <c r="C8" s="149"/>
      <c r="D8" s="137">
        <f>H8+L8+P8+T8+X8</f>
        <v>0</v>
      </c>
      <c r="E8" s="128"/>
      <c r="F8" s="92"/>
      <c r="G8" s="92">
        <f>'1. Inputs'!C12</f>
        <v>0</v>
      </c>
      <c r="H8" s="129">
        <f>IF(G8&gt;0, G8, MAX(E8:F8))</f>
        <v>0</v>
      </c>
      <c r="I8" s="128"/>
      <c r="J8" s="92"/>
      <c r="K8" s="92">
        <f>'1. Inputs'!D12</f>
        <v>0</v>
      </c>
      <c r="L8" s="129">
        <f>IF(K8&gt;0, K8, MAX(I8:J8))</f>
        <v>0</v>
      </c>
      <c r="M8" s="128"/>
      <c r="N8" s="92"/>
      <c r="O8" s="92">
        <f>'1. Inputs'!E12</f>
        <v>0</v>
      </c>
      <c r="P8" s="129">
        <f>IF(O8&gt;0, O8, MAX(M8:N8))</f>
        <v>0</v>
      </c>
      <c r="Q8" s="128"/>
      <c r="R8" s="92"/>
      <c r="S8" s="92">
        <f>'1. Inputs'!F12</f>
        <v>0</v>
      </c>
      <c r="T8" s="129">
        <f>IF(S8&gt;0, S8, MAX(Q8:R8))</f>
        <v>0</v>
      </c>
      <c r="U8" s="128"/>
      <c r="V8" s="92"/>
      <c r="W8" s="92">
        <f>'1. Inputs'!G12</f>
        <v>0</v>
      </c>
      <c r="X8" s="129">
        <f>IF(W8&gt;0, W8, MAX(U8:V8))</f>
        <v>0</v>
      </c>
    </row>
    <row r="9" spans="1:24">
      <c r="A9" s="155">
        <v>2</v>
      </c>
      <c r="B9" s="148" t="s">
        <v>7</v>
      </c>
      <c r="C9" s="149"/>
      <c r="D9" s="137">
        <f t="shared" ref="D9:D64" si="0">H9+L9+P9+T9+X9</f>
        <v>0</v>
      </c>
      <c r="E9" s="128"/>
      <c r="F9" s="92"/>
      <c r="G9" s="92">
        <f>'1. Inputs'!C10</f>
        <v>0</v>
      </c>
      <c r="H9" s="129">
        <f t="shared" ref="H9" si="1">IF(G9&gt;0, G9, MAX(E9:F9))</f>
        <v>0</v>
      </c>
      <c r="I9" s="128"/>
      <c r="J9" s="92"/>
      <c r="K9" s="92">
        <f>'1. Inputs'!D10</f>
        <v>0</v>
      </c>
      <c r="L9" s="129">
        <f t="shared" ref="L9" si="2">IF(K9&gt;0, K9, MAX(I9:J9))</f>
        <v>0</v>
      </c>
      <c r="M9" s="128"/>
      <c r="N9" s="92"/>
      <c r="O9" s="92">
        <f>'1. Inputs'!E10</f>
        <v>0</v>
      </c>
      <c r="P9" s="129">
        <f t="shared" ref="P9" si="3">IF(O9&gt;0, O9, MAX(M9:N9))</f>
        <v>0</v>
      </c>
      <c r="Q9" s="128"/>
      <c r="R9" s="92"/>
      <c r="S9" s="92">
        <f>'1. Inputs'!F10</f>
        <v>0</v>
      </c>
      <c r="T9" s="129">
        <f t="shared" ref="T9" si="4">IF(S9&gt;0, S9, MAX(Q9:R9))</f>
        <v>0</v>
      </c>
      <c r="U9" s="128"/>
      <c r="V9" s="92"/>
      <c r="W9" s="92">
        <f>'1. Inputs'!G10</f>
        <v>0</v>
      </c>
      <c r="X9" s="129">
        <f t="shared" ref="X9" si="5">IF(W9&gt;0, W9, MAX(U9:V9))</f>
        <v>0</v>
      </c>
    </row>
    <row r="10" spans="1:24">
      <c r="A10" s="155">
        <v>3</v>
      </c>
      <c r="B10" s="150" t="s">
        <v>539</v>
      </c>
      <c r="C10" s="149"/>
      <c r="D10" s="137"/>
      <c r="E10" s="128"/>
      <c r="F10" s="92"/>
      <c r="G10" s="92"/>
      <c r="H10" s="129"/>
      <c r="I10" s="128"/>
      <c r="J10" s="92"/>
      <c r="K10" s="92"/>
      <c r="L10" s="129"/>
      <c r="M10" s="128"/>
      <c r="N10" s="92"/>
      <c r="O10" s="92"/>
      <c r="P10" s="129"/>
      <c r="Q10" s="128"/>
      <c r="R10" s="92"/>
      <c r="S10" s="92"/>
      <c r="T10" s="129"/>
      <c r="U10" s="128"/>
      <c r="V10" s="92"/>
      <c r="W10" s="92"/>
      <c r="X10" s="129"/>
    </row>
    <row r="11" spans="1:24">
      <c r="B11" s="148" t="s">
        <v>559</v>
      </c>
      <c r="C11" s="149"/>
      <c r="D11" s="137">
        <f>ROUNDDOWN(H11+L11+P11+T11+X11,0)</f>
        <v>0</v>
      </c>
      <c r="E11" s="130">
        <v>1</v>
      </c>
      <c r="F11" s="122">
        <f>ROUNDUP(H9/E11/E13,0)</f>
        <v>0</v>
      </c>
      <c r="G11" s="123">
        <f>IF(H8&gt;0, IF('1. Inputs'!C9&gt;33, '1. Inputs'!C19, 0.001), 0)</f>
        <v>0</v>
      </c>
      <c r="H11" s="129">
        <f>IF(H8&gt;0, IF( G11&gt;0, G11, MAX(E11:F11)), 0)</f>
        <v>0</v>
      </c>
      <c r="I11" s="130">
        <v>1</v>
      </c>
      <c r="J11" s="122">
        <f>ROUNDUP(L9/I11/I13,0)</f>
        <v>0</v>
      </c>
      <c r="K11" s="123">
        <f>IF(L8&gt;0, IF('1. Inputs'!D9&gt;33, '1. Inputs'!D19, 0.001), 0)</f>
        <v>0</v>
      </c>
      <c r="L11" s="129">
        <f>IF(L8&gt;0, IF( K11&gt;0, K11, MAX(I11:J11)), 0)</f>
        <v>0</v>
      </c>
      <c r="M11" s="130">
        <v>1</v>
      </c>
      <c r="N11" s="122">
        <f>ROUNDUP(P9/M11/M13,0)</f>
        <v>0</v>
      </c>
      <c r="O11" s="123">
        <f>IF(P8&gt;0, IF('1. Inputs'!E9&gt;33, '1. Inputs'!E19, 0.001), 0)</f>
        <v>0</v>
      </c>
      <c r="P11" s="129">
        <f>IF(P8&gt;0, IF( O11&gt;0, O11, MAX(M11:N11)), 0)</f>
        <v>0</v>
      </c>
      <c r="Q11" s="130">
        <v>1</v>
      </c>
      <c r="R11" s="122">
        <f>ROUNDUP(T9/Q11/Q13,0)</f>
        <v>0</v>
      </c>
      <c r="S11" s="123">
        <f>IF(T8&gt;0, IF('1. Inputs'!F9&gt;33, '1. Inputs'!F19, 0.001), 0)</f>
        <v>0</v>
      </c>
      <c r="T11" s="129">
        <f>IF(T8&gt;0, IF( S11&gt;0, S11, MAX(Q11:R11)), 0)</f>
        <v>0</v>
      </c>
      <c r="U11" s="130">
        <v>1</v>
      </c>
      <c r="V11" s="122">
        <f>ROUNDUP(X9/U11/U13,0)</f>
        <v>0</v>
      </c>
      <c r="W11" s="123">
        <f>IF(X8&gt;0, IF('1. Inputs'!G9&gt;33, '1. Inputs'!G19, 0.001), 0)</f>
        <v>0</v>
      </c>
      <c r="X11" s="129">
        <f>IF(X8&gt;0, IF( W11&gt;0, W11, MAX(U11:V11)), 0)</f>
        <v>0</v>
      </c>
    </row>
    <row r="12" spans="1:24">
      <c r="B12" s="148" t="s">
        <v>538</v>
      </c>
      <c r="C12" s="149"/>
      <c r="D12" s="137">
        <f t="shared" si="0"/>
        <v>0</v>
      </c>
      <c r="E12" s="130">
        <v>20000</v>
      </c>
      <c r="F12" s="122">
        <f>IF(G9&gt;0, IF('1. Inputs'!C24&gt;0, '1. Inputs'!C26/'1. Inputs'!C24, '2. Asset Qty Calc'!E12), 0)</f>
        <v>0</v>
      </c>
      <c r="G12" s="93">
        <v>20000</v>
      </c>
      <c r="H12" s="129">
        <f>IF(H9&gt;0, IF( G12&gt;0, G12, MAX(E12:F12)), 0)</f>
        <v>0</v>
      </c>
      <c r="I12" s="130">
        <v>20000</v>
      </c>
      <c r="J12" s="122">
        <f>IF(K9&gt;0, IF('1. Inputs'!D24&gt;0, '1. Inputs'!D26/'1. Inputs'!D24, '2. Asset Qty Calc'!I12), 0)</f>
        <v>0</v>
      </c>
      <c r="K12" s="93"/>
      <c r="L12" s="129">
        <f>IF(L9&gt;0, IF( K12&gt;0, K12, MAX(I12:J12)), 0)</f>
        <v>0</v>
      </c>
      <c r="M12" s="130">
        <v>20000</v>
      </c>
      <c r="N12" s="122">
        <f>IF(O9&gt;0, IF('1. Inputs'!E24&gt;0, '1. Inputs'!E26/'1. Inputs'!E24, '2. Asset Qty Calc'!M12), 0)</f>
        <v>0</v>
      </c>
      <c r="O12" s="93"/>
      <c r="P12" s="129">
        <f>IF(P9&gt;0, IF( O12&gt;0, O12, MAX(M12:N12)), 0)</f>
        <v>0</v>
      </c>
      <c r="Q12" s="130">
        <v>20000</v>
      </c>
      <c r="R12" s="122">
        <f>IF(S9&gt;0, IF('1. Inputs'!F24&gt;0, '1. Inputs'!F26/'1. Inputs'!F24, '2. Asset Qty Calc'!Q12), 0)</f>
        <v>0</v>
      </c>
      <c r="S12" s="93"/>
      <c r="T12" s="129">
        <f>IF(T9&gt;0, IF( S12&gt;0, S12, MAX(Q12:R12)), 0)</f>
        <v>0</v>
      </c>
      <c r="U12" s="130">
        <v>20000</v>
      </c>
      <c r="V12" s="122">
        <f>IF(W9&gt;0, IF('1. Inputs'!G24&gt;0, '1. Inputs'!G26/'1. Inputs'!G24, '2. Asset Qty Calc'!U12), 0)</f>
        <v>0</v>
      </c>
      <c r="W12" s="93"/>
      <c r="X12" s="129">
        <f>IF(X9&gt;0, IF( W12&gt;0, W12, MAX(U12:V12)), 0)</f>
        <v>0</v>
      </c>
    </row>
    <row r="13" spans="1:24">
      <c r="B13" s="148" t="s">
        <v>522</v>
      </c>
      <c r="C13" s="149"/>
      <c r="D13" s="137">
        <f t="shared" si="0"/>
        <v>0</v>
      </c>
      <c r="E13" s="130">
        <v>40000</v>
      </c>
      <c r="F13" s="122"/>
      <c r="G13" s="93"/>
      <c r="H13" s="129">
        <f>IF(H$11&gt;0, IF(G13&gt;0, G13, MAX(E13:F13)), 0)</f>
        <v>0</v>
      </c>
      <c r="I13" s="130">
        <v>40000</v>
      </c>
      <c r="J13" s="122"/>
      <c r="K13" s="93"/>
      <c r="L13" s="129">
        <f>IF(L$11&gt;0, IF(K13&gt;0, K13, MAX(I13:J13)), 0)</f>
        <v>0</v>
      </c>
      <c r="M13" s="130">
        <v>40000</v>
      </c>
      <c r="N13" s="122"/>
      <c r="O13" s="93"/>
      <c r="P13" s="129">
        <f>IF(P$11&gt;0, IF(O13&gt;0, O13, MAX(M13:N13)), 0)</f>
        <v>0</v>
      </c>
      <c r="Q13" s="130">
        <v>40000</v>
      </c>
      <c r="R13" s="122"/>
      <c r="S13" s="93"/>
      <c r="T13" s="129">
        <f>IF(T$11&gt;0, IF(S13&gt;0, S13, MAX(Q13:R13)), 0)</f>
        <v>0</v>
      </c>
      <c r="U13" s="130">
        <v>40000</v>
      </c>
      <c r="V13" s="122"/>
      <c r="W13" s="93"/>
      <c r="X13" s="129">
        <f>IF(X$11&gt;0, IF(W13&gt;0, W13, MAX(U13:V13)), 0)</f>
        <v>0</v>
      </c>
    </row>
    <row r="14" spans="1:24" ht="28.8">
      <c r="B14" s="148" t="s">
        <v>597</v>
      </c>
      <c r="C14" s="149"/>
      <c r="D14" s="137">
        <f t="shared" si="0"/>
        <v>0</v>
      </c>
      <c r="E14" s="143"/>
      <c r="F14" s="122">
        <f>IF(H9&gt;0, MAX(((H13/H12)+1)*H11, ,'1. Inputs'!C24+'1. Inputs'!C25), 0)</f>
        <v>0</v>
      </c>
      <c r="G14" s="93"/>
      <c r="H14" s="129">
        <f>IF(H$11&gt;=1, IF(G14&gt;0, G14, MAX(E14:F14)), 0)</f>
        <v>0</v>
      </c>
      <c r="I14" s="143"/>
      <c r="J14" s="122">
        <f>IF(L9&gt;0, MAX(((L13/L12)+1)*L11, ,'1. Inputs'!D24+'1. Inputs'!D25), 0)</f>
        <v>0</v>
      </c>
      <c r="K14" s="93"/>
      <c r="L14" s="129">
        <f>IF(L$11&gt;=1, IF(K14&gt;0, K14, MAX(I14:J14)), 0)</f>
        <v>0</v>
      </c>
      <c r="M14" s="143"/>
      <c r="N14" s="122">
        <f>IF(P9&gt;0, MAX(((P13/P12)+1)*P11, ,'1. Inputs'!E24+'1. Inputs'!E25), 0)</f>
        <v>0</v>
      </c>
      <c r="O14" s="93"/>
      <c r="P14" s="129">
        <f>IF(P$11&gt;=1, IF(O14&gt;0, O14, MAX(M14:N14)), 0)</f>
        <v>0</v>
      </c>
      <c r="Q14" s="143"/>
      <c r="R14" s="122">
        <f>IF(T9&gt;0, MAX(((T13/T12)+1)*T11, ,'1. Inputs'!F24+'1. Inputs'!F25), 0)</f>
        <v>0</v>
      </c>
      <c r="S14" s="93"/>
      <c r="T14" s="129">
        <f>IF(T$11&gt;=1, IF(S14&gt;0, S14, MAX(Q14:R14)), 0)</f>
        <v>0</v>
      </c>
      <c r="U14" s="143"/>
      <c r="V14" s="122">
        <f>IF(X9&gt;0, MAX(((X13/X12)+1)*X11, ,'1. Inputs'!G24+'1. Inputs'!G25), 0)</f>
        <v>0</v>
      </c>
      <c r="W14" s="93"/>
      <c r="X14" s="129">
        <f>IF(X$11&gt;=1, IF(W14&gt;0, W14, MAX(U14:V14)), 0)</f>
        <v>0</v>
      </c>
    </row>
    <row r="15" spans="1:24">
      <c r="B15" s="148" t="s">
        <v>598</v>
      </c>
      <c r="C15" s="149"/>
      <c r="D15" s="137">
        <f t="shared" ref="D15" si="6">H15+L15+P15+T15+X15</f>
        <v>0</v>
      </c>
      <c r="E15" s="143"/>
      <c r="F15" s="122">
        <f>IF('1. Inputs'!C18="yes",'1. Inputs'!C24+'1. Inputs'!C25-'2. Asset Qty Calc'!H14,0)</f>
        <v>0</v>
      </c>
      <c r="G15" s="93"/>
      <c r="H15" s="129">
        <f>IF(H$11&gt;0, IF(G15&gt;0, G15, MAX(E15:F15)), 0)</f>
        <v>0</v>
      </c>
      <c r="I15" s="143"/>
      <c r="J15" s="122">
        <f>IF('1. Inputs'!D18="yes",'1. Inputs'!D24+'1. Inputs'!D25-'2. Asset Qty Calc'!L14,0)</f>
        <v>0</v>
      </c>
      <c r="K15" s="93"/>
      <c r="L15" s="129">
        <f>IF(L$11&gt;0, IF(K15&gt;0, K15, MAX(I15:J15)), 0)</f>
        <v>0</v>
      </c>
      <c r="M15" s="143"/>
      <c r="N15" s="122">
        <f>IF('1. Inputs'!E18="yes",'1. Inputs'!E24+'1. Inputs'!E25-'2. Asset Qty Calc'!P14,0)</f>
        <v>0</v>
      </c>
      <c r="O15" s="93"/>
      <c r="P15" s="129">
        <f>IF(P$11&gt;0, IF(O15&gt;0, O15, MAX(M15:N15)), 0)</f>
        <v>0</v>
      </c>
      <c r="Q15" s="143"/>
      <c r="R15" s="122">
        <f>IF('1. Inputs'!F18="yes",'1. Inputs'!F24+'1. Inputs'!F25-'2. Asset Qty Calc'!T14,0)</f>
        <v>0</v>
      </c>
      <c r="S15" s="93"/>
      <c r="T15" s="129">
        <f>IF(T$11&gt;0, IF(S15&gt;0, S15, MAX(Q15:R15)), 0)</f>
        <v>0</v>
      </c>
      <c r="U15" s="143"/>
      <c r="V15" s="122">
        <f>IF('1. Inputs'!G18="yes",'1. Inputs'!G24+'1. Inputs'!G25-'2. Asset Qty Calc'!X14,0)</f>
        <v>0</v>
      </c>
      <c r="W15" s="93"/>
      <c r="X15" s="129">
        <f>IF(X$11&gt;0, IF(W15&gt;0, W15, MAX(U15:V15)), 0)</f>
        <v>0</v>
      </c>
    </row>
    <row r="16" spans="1:24" ht="28.8">
      <c r="A16" s="155">
        <v>4</v>
      </c>
      <c r="B16" s="150" t="s">
        <v>560</v>
      </c>
      <c r="C16" s="149"/>
      <c r="D16" s="137"/>
      <c r="E16" s="143"/>
      <c r="F16" s="122"/>
      <c r="G16" s="123"/>
      <c r="H16" s="129"/>
      <c r="I16" s="143"/>
      <c r="J16" s="122"/>
      <c r="K16" s="123"/>
      <c r="L16" s="129"/>
      <c r="M16" s="143"/>
      <c r="N16" s="122"/>
      <c r="O16" s="123"/>
      <c r="P16" s="129"/>
      <c r="Q16" s="143"/>
      <c r="R16" s="122"/>
      <c r="S16" s="123"/>
      <c r="T16" s="129"/>
      <c r="U16" s="143"/>
      <c r="V16" s="122"/>
      <c r="W16" s="123"/>
      <c r="X16" s="129"/>
    </row>
    <row r="17" spans="1:24" ht="28.8">
      <c r="B17" s="148" t="s">
        <v>562</v>
      </c>
      <c r="C17" s="149"/>
      <c r="D17" s="137">
        <f>H17+L17+P17+T17+X17</f>
        <v>0</v>
      </c>
      <c r="E17" s="130">
        <f>IF('1. Inputs'!C18="Yes", 1, 0)</f>
        <v>0</v>
      </c>
      <c r="F17" s="122"/>
      <c r="G17" s="123">
        <f>'1. Inputs'!C28</f>
        <v>0</v>
      </c>
      <c r="H17" s="129">
        <f t="shared" ref="H17:H25" si="7">IF(H$11&gt;0, IF(G17&gt;0, G17, MAX(E17:F17)), 0)</f>
        <v>0</v>
      </c>
      <c r="I17" s="130">
        <f>IF('1. Inputs'!D18="Yes", 1, 0)</f>
        <v>0</v>
      </c>
      <c r="J17" s="122"/>
      <c r="K17" s="123">
        <f>'1. Inputs'!D28</f>
        <v>0</v>
      </c>
      <c r="L17" s="129">
        <f t="shared" ref="L17:L25" si="8">IF(L$11&gt;0, IF(K17&gt;0, K17, MAX(I17:J17)), 0)</f>
        <v>0</v>
      </c>
      <c r="M17" s="130">
        <f>IF('1. Inputs'!E18="Yes", 1, 0)</f>
        <v>0</v>
      </c>
      <c r="N17" s="122"/>
      <c r="O17" s="123">
        <f>'1. Inputs'!E28</f>
        <v>0</v>
      </c>
      <c r="P17" s="129">
        <f t="shared" ref="P17:P25" si="9">IF(P$11&gt;0, IF(O17&gt;0, O17, MAX(M17:N17)), 0)</f>
        <v>0</v>
      </c>
      <c r="Q17" s="130">
        <f>IF('1. Inputs'!F18="Yes", 1, 0)</f>
        <v>0</v>
      </c>
      <c r="R17" s="122"/>
      <c r="S17" s="123">
        <f>'1. Inputs'!F28</f>
        <v>0</v>
      </c>
      <c r="T17" s="129">
        <f t="shared" ref="T17:T25" si="10">IF(T$11&gt;0, IF(S17&gt;0, S17, MAX(Q17:R17)), 0)</f>
        <v>0</v>
      </c>
      <c r="U17" s="130">
        <f>IF('1. Inputs'!G18="Yes", 1, 0)</f>
        <v>0</v>
      </c>
      <c r="V17" s="122"/>
      <c r="W17" s="123">
        <f>'1. Inputs'!G28</f>
        <v>0</v>
      </c>
      <c r="X17" s="129">
        <f t="shared" ref="X17:X25" si="11">IF(X$11&gt;0, IF(W17&gt;0, W17, MAX(U17:V17)), 0)</f>
        <v>0</v>
      </c>
    </row>
    <row r="18" spans="1:24" ht="28.8">
      <c r="B18" s="148" t="s">
        <v>563</v>
      </c>
      <c r="C18" s="149"/>
      <c r="D18" s="137">
        <f t="shared" si="0"/>
        <v>0</v>
      </c>
      <c r="E18" s="130">
        <v>10000</v>
      </c>
      <c r="F18" s="122"/>
      <c r="G18" s="93"/>
      <c r="H18" s="129">
        <f t="shared" si="7"/>
        <v>0</v>
      </c>
      <c r="I18" s="130">
        <v>10000</v>
      </c>
      <c r="J18" s="122"/>
      <c r="K18" s="93"/>
      <c r="L18" s="129">
        <f t="shared" si="8"/>
        <v>0</v>
      </c>
      <c r="M18" s="130">
        <v>10000</v>
      </c>
      <c r="N18" s="122"/>
      <c r="O18" s="93"/>
      <c r="P18" s="129">
        <f t="shared" si="9"/>
        <v>0</v>
      </c>
      <c r="Q18" s="130">
        <v>10000</v>
      </c>
      <c r="R18" s="122"/>
      <c r="S18" s="93"/>
      <c r="T18" s="129">
        <f t="shared" si="10"/>
        <v>0</v>
      </c>
      <c r="U18" s="130">
        <v>10000</v>
      </c>
      <c r="V18" s="122"/>
      <c r="W18" s="93"/>
      <c r="X18" s="129">
        <f t="shared" si="11"/>
        <v>0</v>
      </c>
    </row>
    <row r="19" spans="1:24" ht="28.8">
      <c r="B19" s="148" t="s">
        <v>564</v>
      </c>
      <c r="C19" s="149"/>
      <c r="D19" s="137">
        <f t="shared" si="0"/>
        <v>0</v>
      </c>
      <c r="E19" s="130">
        <v>10000</v>
      </c>
      <c r="F19" s="122"/>
      <c r="G19" s="93"/>
      <c r="H19" s="129">
        <f t="shared" si="7"/>
        <v>0</v>
      </c>
      <c r="I19" s="130">
        <v>10000</v>
      </c>
      <c r="J19" s="122"/>
      <c r="K19" s="93"/>
      <c r="L19" s="129">
        <f t="shared" si="8"/>
        <v>0</v>
      </c>
      <c r="M19" s="130">
        <v>10000</v>
      </c>
      <c r="N19" s="122"/>
      <c r="O19" s="93"/>
      <c r="P19" s="129">
        <f t="shared" si="9"/>
        <v>0</v>
      </c>
      <c r="Q19" s="130">
        <v>10000</v>
      </c>
      <c r="R19" s="122"/>
      <c r="S19" s="93"/>
      <c r="T19" s="129">
        <f t="shared" si="10"/>
        <v>0</v>
      </c>
      <c r="U19" s="130">
        <v>10000</v>
      </c>
      <c r="V19" s="122"/>
      <c r="W19" s="93"/>
      <c r="X19" s="129">
        <f t="shared" si="11"/>
        <v>0</v>
      </c>
    </row>
    <row r="20" spans="1:24">
      <c r="B20" s="148" t="s">
        <v>561</v>
      </c>
      <c r="C20" s="149"/>
      <c r="D20" s="137">
        <f t="shared" si="0"/>
        <v>0</v>
      </c>
      <c r="E20" s="143"/>
      <c r="F20" s="122">
        <f>IF(H9&gt;0, ((H19/H18)+1)*H17, 0)+'1. Inputs'!C25</f>
        <v>0</v>
      </c>
      <c r="G20" s="93"/>
      <c r="H20" s="129">
        <f t="shared" si="7"/>
        <v>0</v>
      </c>
      <c r="I20" s="143"/>
      <c r="J20" s="122">
        <f>IF(L9&gt;0, ((L19/L18)+1)*L17, 0)+'1. Inputs'!D25</f>
        <v>0</v>
      </c>
      <c r="K20" s="93"/>
      <c r="L20" s="129">
        <f t="shared" si="8"/>
        <v>0</v>
      </c>
      <c r="M20" s="143"/>
      <c r="N20" s="122">
        <f>IF(P9&gt;0, ((P19/P18)+1)*P17, 0)+'1. Inputs'!E25</f>
        <v>0</v>
      </c>
      <c r="O20" s="93"/>
      <c r="P20" s="129">
        <f t="shared" si="9"/>
        <v>0</v>
      </c>
      <c r="Q20" s="143"/>
      <c r="R20" s="122">
        <f>IF(T9&gt;0, ((T19/T18)+1)*T17, 0)+'1. Inputs'!F25</f>
        <v>0</v>
      </c>
      <c r="S20" s="93"/>
      <c r="T20" s="129">
        <f t="shared" si="10"/>
        <v>0</v>
      </c>
      <c r="U20" s="143"/>
      <c r="V20" s="122">
        <f>IF(X9&gt;0, ((X19/X18)+1)*X17, 0)+'1. Inputs'!G25</f>
        <v>0</v>
      </c>
      <c r="W20" s="93"/>
      <c r="X20" s="129">
        <f t="shared" si="11"/>
        <v>0</v>
      </c>
    </row>
    <row r="21" spans="1:24" ht="28.8">
      <c r="B21" s="148" t="s">
        <v>565</v>
      </c>
      <c r="C21" s="149"/>
      <c r="D21" s="137">
        <f t="shared" si="0"/>
        <v>0</v>
      </c>
      <c r="E21" s="130">
        <v>5</v>
      </c>
      <c r="F21" s="122"/>
      <c r="G21" s="162"/>
      <c r="H21" s="129">
        <f t="shared" si="7"/>
        <v>0</v>
      </c>
      <c r="I21" s="130">
        <v>5</v>
      </c>
      <c r="J21" s="122"/>
      <c r="K21" s="93"/>
      <c r="L21" s="129">
        <f t="shared" si="8"/>
        <v>0</v>
      </c>
      <c r="M21" s="130">
        <v>5</v>
      </c>
      <c r="N21" s="122"/>
      <c r="O21" s="93"/>
      <c r="P21" s="129">
        <f t="shared" si="9"/>
        <v>0</v>
      </c>
      <c r="Q21" s="130">
        <v>5</v>
      </c>
      <c r="R21" s="122"/>
      <c r="S21" s="93"/>
      <c r="T21" s="129">
        <f t="shared" si="10"/>
        <v>0</v>
      </c>
      <c r="U21" s="130">
        <v>5</v>
      </c>
      <c r="V21" s="122"/>
      <c r="W21" s="93"/>
      <c r="X21" s="129">
        <f t="shared" si="11"/>
        <v>0</v>
      </c>
    </row>
    <row r="22" spans="1:24">
      <c r="B22" s="148" t="s">
        <v>566</v>
      </c>
      <c r="C22" s="149"/>
      <c r="D22" s="163">
        <f t="shared" si="0"/>
        <v>0</v>
      </c>
      <c r="E22" s="143"/>
      <c r="F22" s="122">
        <f>H21*H17</f>
        <v>0</v>
      </c>
      <c r="G22" s="162"/>
      <c r="H22" s="131">
        <f t="shared" si="7"/>
        <v>0</v>
      </c>
      <c r="I22" s="143"/>
      <c r="J22" s="122">
        <f>L21*L17</f>
        <v>0</v>
      </c>
      <c r="K22" s="93"/>
      <c r="L22" s="129">
        <f t="shared" si="8"/>
        <v>0</v>
      </c>
      <c r="M22" s="143"/>
      <c r="N22" s="122">
        <f>P21*P17</f>
        <v>0</v>
      </c>
      <c r="O22" s="93"/>
      <c r="P22" s="129">
        <f t="shared" si="9"/>
        <v>0</v>
      </c>
      <c r="Q22" s="143"/>
      <c r="R22" s="122">
        <f>T21*T17</f>
        <v>0</v>
      </c>
      <c r="S22" s="93"/>
      <c r="T22" s="129">
        <f t="shared" si="10"/>
        <v>0</v>
      </c>
      <c r="U22" s="143"/>
      <c r="V22" s="122">
        <f>X21*X17</f>
        <v>0</v>
      </c>
      <c r="W22" s="93"/>
      <c r="X22" s="129">
        <f t="shared" si="11"/>
        <v>0</v>
      </c>
    </row>
    <row r="23" spans="1:24">
      <c r="B23" s="148" t="s">
        <v>593</v>
      </c>
      <c r="C23" s="149"/>
      <c r="D23" s="163">
        <f t="shared" si="0"/>
        <v>0</v>
      </c>
      <c r="E23" s="128"/>
      <c r="F23" s="91">
        <f>H22*'1. Inputs'!C$45</f>
        <v>0</v>
      </c>
      <c r="G23" s="162"/>
      <c r="H23" s="131">
        <f t="shared" si="7"/>
        <v>0</v>
      </c>
      <c r="I23" s="128"/>
      <c r="J23" s="91">
        <f>L22*'1. Inputs'!D$45</f>
        <v>0</v>
      </c>
      <c r="K23" s="93"/>
      <c r="L23" s="131">
        <f t="shared" si="8"/>
        <v>0</v>
      </c>
      <c r="M23" s="128"/>
      <c r="N23" s="91">
        <f>P22*'1. Inputs'!E$45</f>
        <v>0</v>
      </c>
      <c r="O23" s="93"/>
      <c r="P23" s="131">
        <f t="shared" si="9"/>
        <v>0</v>
      </c>
      <c r="Q23" s="128"/>
      <c r="R23" s="91">
        <f>T22*'1. Inputs'!F$45</f>
        <v>0</v>
      </c>
      <c r="S23" s="93"/>
      <c r="T23" s="131"/>
      <c r="U23" s="128"/>
      <c r="V23" s="91">
        <f>X22*'1. Inputs'!G$45</f>
        <v>0</v>
      </c>
      <c r="W23" s="93"/>
      <c r="X23" s="131"/>
    </row>
    <row r="24" spans="1:24">
      <c r="B24" s="148" t="s">
        <v>594</v>
      </c>
      <c r="C24" s="149"/>
      <c r="D24" s="163">
        <f t="shared" si="0"/>
        <v>0</v>
      </c>
      <c r="E24" s="128"/>
      <c r="F24" s="91">
        <f>H22*'1. Inputs'!C$46</f>
        <v>0</v>
      </c>
      <c r="G24" s="162"/>
      <c r="H24" s="131">
        <f t="shared" si="7"/>
        <v>0</v>
      </c>
      <c r="I24" s="128"/>
      <c r="J24" s="91">
        <f>L22*'1. Inputs'!D$46</f>
        <v>0</v>
      </c>
      <c r="K24" s="93"/>
      <c r="L24" s="131">
        <f t="shared" si="8"/>
        <v>0</v>
      </c>
      <c r="M24" s="128"/>
      <c r="N24" s="91">
        <f>P22*'1. Inputs'!E$46</f>
        <v>0</v>
      </c>
      <c r="O24" s="93"/>
      <c r="P24" s="131">
        <f t="shared" si="9"/>
        <v>0</v>
      </c>
      <c r="Q24" s="128"/>
      <c r="R24" s="91">
        <f>T22*'1. Inputs'!F$46</f>
        <v>0</v>
      </c>
      <c r="S24" s="93"/>
      <c r="T24" s="131"/>
      <c r="U24" s="128"/>
      <c r="V24" s="91">
        <f>X22*'1. Inputs'!G$46</f>
        <v>0</v>
      </c>
      <c r="W24" s="93"/>
      <c r="X24" s="131"/>
    </row>
    <row r="25" spans="1:24">
      <c r="B25" s="148" t="s">
        <v>592</v>
      </c>
      <c r="C25" s="149"/>
      <c r="D25" s="137">
        <f t="shared" si="0"/>
        <v>0</v>
      </c>
      <c r="E25" s="143"/>
      <c r="F25" s="122"/>
      <c r="G25" s="123">
        <f>'1. Inputs'!C29</f>
        <v>0</v>
      </c>
      <c r="H25" s="129">
        <f t="shared" si="7"/>
        <v>0</v>
      </c>
      <c r="I25" s="143"/>
      <c r="J25" s="122"/>
      <c r="K25" s="123">
        <f>'1. Inputs'!D29</f>
        <v>0</v>
      </c>
      <c r="L25" s="129">
        <f t="shared" si="8"/>
        <v>0</v>
      </c>
      <c r="M25" s="143"/>
      <c r="N25" s="122"/>
      <c r="O25" s="123">
        <f>'1. Inputs'!E29</f>
        <v>0</v>
      </c>
      <c r="P25" s="129">
        <f t="shared" si="9"/>
        <v>0</v>
      </c>
      <c r="Q25" s="143"/>
      <c r="R25" s="122"/>
      <c r="S25" s="123">
        <f>'1. Inputs'!F29</f>
        <v>0</v>
      </c>
      <c r="T25" s="129">
        <f t="shared" si="10"/>
        <v>0</v>
      </c>
      <c r="U25" s="143"/>
      <c r="V25" s="122"/>
      <c r="W25" s="123">
        <f>'1. Inputs'!G29</f>
        <v>0</v>
      </c>
      <c r="X25" s="129">
        <f t="shared" si="11"/>
        <v>0</v>
      </c>
    </row>
    <row r="26" spans="1:24">
      <c r="A26" s="155">
        <v>5</v>
      </c>
      <c r="B26" s="150" t="s">
        <v>537</v>
      </c>
      <c r="C26" s="149"/>
      <c r="D26" s="137"/>
      <c r="E26" s="143"/>
      <c r="F26" s="122"/>
      <c r="G26" s="123"/>
      <c r="H26" s="129"/>
      <c r="I26" s="143"/>
      <c r="J26" s="122"/>
      <c r="K26" s="123"/>
      <c r="L26" s="129"/>
      <c r="M26" s="143"/>
      <c r="N26" s="122"/>
      <c r="O26" s="123"/>
      <c r="P26" s="129"/>
      <c r="Q26" s="143"/>
      <c r="R26" s="122"/>
      <c r="S26" s="123"/>
      <c r="T26" s="129"/>
      <c r="U26" s="143"/>
      <c r="V26" s="122"/>
      <c r="W26" s="123"/>
      <c r="X26" s="129"/>
    </row>
    <row r="27" spans="1:24" ht="21" customHeight="1">
      <c r="B27" s="148" t="s">
        <v>509</v>
      </c>
      <c r="C27" s="149"/>
      <c r="D27" s="137">
        <f t="shared" si="0"/>
        <v>0</v>
      </c>
      <c r="E27" s="130">
        <v>20000</v>
      </c>
      <c r="F27" s="92"/>
      <c r="G27" s="93"/>
      <c r="H27" s="129">
        <f>IF(H$11&gt;0, IF(G27&gt;0, G27, MAX(E27:F27)), 0)</f>
        <v>0</v>
      </c>
      <c r="I27" s="130">
        <v>20000</v>
      </c>
      <c r="J27" s="92"/>
      <c r="K27" s="93"/>
      <c r="L27" s="129">
        <f>IF(L$11&gt;0, IF(K27&gt;0, K27, MAX(I27:J27)), 0)</f>
        <v>0</v>
      </c>
      <c r="M27" s="130">
        <v>20000</v>
      </c>
      <c r="N27" s="92"/>
      <c r="O27" s="93"/>
      <c r="P27" s="129">
        <f>IF(P$11&gt;0, IF(O27&gt;0, O27, MAX(M27:N27)), 0)</f>
        <v>0</v>
      </c>
      <c r="Q27" s="130">
        <v>20000</v>
      </c>
      <c r="R27" s="92"/>
      <c r="S27" s="93"/>
      <c r="T27" s="129">
        <f>IF(T$11&gt;0, IF(S27&gt;0, S27, MAX(Q27:R27)), 0)</f>
        <v>0</v>
      </c>
      <c r="U27" s="130">
        <v>20000</v>
      </c>
      <c r="V27" s="92"/>
      <c r="W27" s="93"/>
      <c r="X27" s="129">
        <f>IF(X$11&gt;0, IF(W27&gt;0, W27, MAX(U27:V27)), 0)</f>
        <v>0</v>
      </c>
    </row>
    <row r="28" spans="1:24">
      <c r="B28" s="148" t="s">
        <v>510</v>
      </c>
      <c r="C28" s="149"/>
      <c r="D28" s="137">
        <f t="shared" si="0"/>
        <v>0</v>
      </c>
      <c r="E28" s="128"/>
      <c r="F28" s="92">
        <f>IF(H9&gt;0,ROUNDUP((H9*1.15)/H27,0),0)</f>
        <v>0</v>
      </c>
      <c r="G28" s="93"/>
      <c r="H28" s="129">
        <f>IF(H$11&gt;0, IF(G28&gt;0, G28, MAX(E28:F28)),0)</f>
        <v>0</v>
      </c>
      <c r="I28" s="128"/>
      <c r="J28" s="92">
        <f>IF(L9&gt;0,ROUNDUP((L9*1.15)/L27,0),0)</f>
        <v>0</v>
      </c>
      <c r="K28" s="93"/>
      <c r="L28" s="129">
        <f>IF(L$11&gt;0, IF(K28&gt;0, K28, MAX(I28:J28)),0)</f>
        <v>0</v>
      </c>
      <c r="M28" s="128"/>
      <c r="N28" s="92">
        <f>IF(P9&gt;0,ROUNDUP((P9*1.15)/P27,0),0)</f>
        <v>0</v>
      </c>
      <c r="O28" s="93"/>
      <c r="P28" s="129">
        <f>IF(P$11&gt;0, IF(O28&gt;0, O28, MAX(M28:N28)),0)</f>
        <v>0</v>
      </c>
      <c r="Q28" s="128"/>
      <c r="R28" s="92">
        <f>IF(T9&gt;0,ROUNDUP((T9*1.15)/T27,0),0)</f>
        <v>0</v>
      </c>
      <c r="S28" s="93"/>
      <c r="T28" s="129">
        <f>IF(T$11&gt;0, IF(S28&gt;0, S28, MAX(Q28:R28)),0)</f>
        <v>0</v>
      </c>
      <c r="U28" s="128"/>
      <c r="V28" s="92">
        <f>IF(X9&gt;0,ROUNDUP((X9*1.15)/X27,0),0)</f>
        <v>0</v>
      </c>
      <c r="W28" s="93"/>
      <c r="X28" s="129">
        <f>IF(X$11&gt;0, IF(W28&gt;0, W28, MAX(U28:V28)),0)</f>
        <v>0</v>
      </c>
    </row>
    <row r="29" spans="1:24" ht="30.6" customHeight="1">
      <c r="B29" s="148" t="s">
        <v>535</v>
      </c>
      <c r="C29" s="149" t="s">
        <v>626</v>
      </c>
      <c r="D29" s="137">
        <f t="shared" si="0"/>
        <v>0</v>
      </c>
      <c r="E29" s="130">
        <v>7000</v>
      </c>
      <c r="F29" s="92"/>
      <c r="G29" s="93"/>
      <c r="H29" s="129">
        <f t="shared" ref="H29:H32" si="12">IF(H$11&gt;0, IF(G29&gt;0, G29, MAX(E29:F29)), 0)</f>
        <v>0</v>
      </c>
      <c r="I29" s="130">
        <v>7000</v>
      </c>
      <c r="J29" s="92"/>
      <c r="K29" s="93"/>
      <c r="L29" s="129">
        <f t="shared" ref="L29:L32" si="13">IF(L$11&gt;0, IF(K29&gt;0, K29, MAX(I29:J29)), 0)</f>
        <v>0</v>
      </c>
      <c r="M29" s="130">
        <v>7000</v>
      </c>
      <c r="N29" s="92"/>
      <c r="O29" s="93"/>
      <c r="P29" s="129">
        <f t="shared" ref="P29:P32" si="14">IF(P$11&gt;0, IF(O29&gt;0, O29, MAX(M29:N29)), 0)</f>
        <v>0</v>
      </c>
      <c r="Q29" s="130">
        <v>7000</v>
      </c>
      <c r="R29" s="92"/>
      <c r="S29" s="93"/>
      <c r="T29" s="129">
        <f t="shared" ref="T29:T32" si="15">IF(T$11&gt;0, IF(S29&gt;0, S29, MAX(Q29:R29)), 0)</f>
        <v>0</v>
      </c>
      <c r="U29" s="130">
        <v>7000</v>
      </c>
      <c r="V29" s="92"/>
      <c r="W29" s="93"/>
      <c r="X29" s="129">
        <f t="shared" ref="X29:X32" si="16">IF(X$11&gt;0, IF(W29&gt;0, W29, MAX(U29:V29)), 0)</f>
        <v>0</v>
      </c>
    </row>
    <row r="30" spans="1:24" ht="30.6" customHeight="1">
      <c r="B30" s="148" t="s">
        <v>536</v>
      </c>
      <c r="C30" s="149"/>
      <c r="D30" s="137">
        <f t="shared" si="0"/>
        <v>0</v>
      </c>
      <c r="E30" s="143"/>
      <c r="F30" s="92">
        <f>IF(H9&gt;0, ROUNDUP(E27/E29,0)+1, 0)</f>
        <v>0</v>
      </c>
      <c r="G30" s="93"/>
      <c r="H30" s="129">
        <f t="shared" si="12"/>
        <v>0</v>
      </c>
      <c r="I30" s="143"/>
      <c r="J30" s="92">
        <f>IF(L9&gt;0, ROUNDUP(I27/I29,0)+1, 0)</f>
        <v>0</v>
      </c>
      <c r="K30" s="93"/>
      <c r="L30" s="129">
        <f t="shared" si="13"/>
        <v>0</v>
      </c>
      <c r="M30" s="143"/>
      <c r="N30" s="92">
        <f>IF(P9&gt;0, ROUNDUP(M27/M29,0)+1, 0)</f>
        <v>0</v>
      </c>
      <c r="O30" s="93"/>
      <c r="P30" s="129">
        <f t="shared" si="14"/>
        <v>0</v>
      </c>
      <c r="Q30" s="143"/>
      <c r="R30" s="92">
        <f>IF(T9&gt;0, ROUNDUP(Q27/Q29,0)+1, 0)</f>
        <v>0</v>
      </c>
      <c r="S30" s="93"/>
      <c r="T30" s="129">
        <f t="shared" si="15"/>
        <v>0</v>
      </c>
      <c r="U30" s="143"/>
      <c r="V30" s="92">
        <f>IF(X9&gt;0, ROUNDUP(U27/U29,0)+1, 0)</f>
        <v>0</v>
      </c>
      <c r="W30" s="93"/>
      <c r="X30" s="129">
        <f t="shared" si="16"/>
        <v>0</v>
      </c>
    </row>
    <row r="31" spans="1:24" ht="43.2">
      <c r="B31" s="148" t="s">
        <v>543</v>
      </c>
      <c r="C31" s="149"/>
      <c r="D31" s="137">
        <f t="shared" si="0"/>
        <v>0</v>
      </c>
      <c r="E31" s="144">
        <v>2.5</v>
      </c>
      <c r="F31" s="92"/>
      <c r="G31" s="93"/>
      <c r="H31" s="131">
        <f t="shared" si="12"/>
        <v>0</v>
      </c>
      <c r="I31" s="144">
        <v>2.5</v>
      </c>
      <c r="J31" s="92"/>
      <c r="K31" s="93"/>
      <c r="L31" s="131">
        <f t="shared" si="13"/>
        <v>0</v>
      </c>
      <c r="M31" s="144">
        <v>2.5</v>
      </c>
      <c r="N31" s="92"/>
      <c r="O31" s="93"/>
      <c r="P31" s="131">
        <f t="shared" si="14"/>
        <v>0</v>
      </c>
      <c r="Q31" s="144">
        <v>2.5</v>
      </c>
      <c r="R31" s="92"/>
      <c r="S31" s="93"/>
      <c r="T31" s="131">
        <f t="shared" si="15"/>
        <v>0</v>
      </c>
      <c r="U31" s="144">
        <v>2.5</v>
      </c>
      <c r="V31" s="92"/>
      <c r="W31" s="93"/>
      <c r="X31" s="131">
        <f t="shared" si="16"/>
        <v>0</v>
      </c>
    </row>
    <row r="32" spans="1:24" ht="43.2">
      <c r="B32" s="148" t="s">
        <v>544</v>
      </c>
      <c r="C32" s="149"/>
      <c r="D32" s="163">
        <f t="shared" si="0"/>
        <v>0</v>
      </c>
      <c r="E32" s="143"/>
      <c r="F32" s="91">
        <f>IF(H9&gt;0, H31*H30*H28, 0)</f>
        <v>0</v>
      </c>
      <c r="G32" s="162"/>
      <c r="H32" s="131">
        <f t="shared" si="12"/>
        <v>0</v>
      </c>
      <c r="I32" s="143"/>
      <c r="J32" s="91">
        <f>IF(L9&gt;0, L31*L30*L28, 0)</f>
        <v>0</v>
      </c>
      <c r="K32" s="162"/>
      <c r="L32" s="131">
        <f t="shared" si="13"/>
        <v>0</v>
      </c>
      <c r="M32" s="143"/>
      <c r="N32" s="91">
        <f>IF(P9&gt;0, P31*P30*P28, 0)</f>
        <v>0</v>
      </c>
      <c r="O32" s="162"/>
      <c r="P32" s="131">
        <f t="shared" si="14"/>
        <v>0</v>
      </c>
      <c r="Q32" s="143"/>
      <c r="R32" s="91">
        <f>IF(T9&gt;0, T31*T30*T28, 0)</f>
        <v>0</v>
      </c>
      <c r="S32" s="162"/>
      <c r="T32" s="131">
        <f t="shared" si="15"/>
        <v>0</v>
      </c>
      <c r="U32" s="143"/>
      <c r="V32" s="91">
        <f>IF(X9&gt;0, X31*X30*X28, 0)</f>
        <v>0</v>
      </c>
      <c r="W32" s="162"/>
      <c r="X32" s="131">
        <f t="shared" si="16"/>
        <v>0</v>
      </c>
    </row>
    <row r="33" spans="1:24">
      <c r="A33" s="155">
        <v>6</v>
      </c>
      <c r="B33" s="150" t="s">
        <v>540</v>
      </c>
      <c r="C33" s="149"/>
      <c r="D33" s="137"/>
      <c r="E33" s="143"/>
      <c r="F33" s="92"/>
      <c r="G33" s="123"/>
      <c r="H33" s="129"/>
      <c r="I33" s="143"/>
      <c r="J33" s="92"/>
      <c r="K33" s="123"/>
      <c r="L33" s="129"/>
      <c r="M33" s="143"/>
      <c r="N33" s="92"/>
      <c r="O33" s="123"/>
      <c r="P33" s="129"/>
      <c r="Q33" s="143"/>
      <c r="R33" s="92"/>
      <c r="S33" s="123"/>
      <c r="T33" s="129"/>
      <c r="U33" s="143"/>
      <c r="V33" s="92"/>
      <c r="W33" s="123"/>
      <c r="X33" s="129"/>
    </row>
    <row r="34" spans="1:24" ht="28.8">
      <c r="B34" s="148" t="s">
        <v>42</v>
      </c>
      <c r="C34" s="149" t="s">
        <v>625</v>
      </c>
      <c r="D34" s="137">
        <f t="shared" si="0"/>
        <v>0</v>
      </c>
      <c r="E34" s="130">
        <v>6000</v>
      </c>
      <c r="F34" s="92"/>
      <c r="G34" s="93"/>
      <c r="H34" s="129">
        <f t="shared" ref="H34:H45" si="17">IF(H$11&gt;0, IF(G34&gt;0, G34, MAX(E34:F34)), 0)</f>
        <v>0</v>
      </c>
      <c r="I34" s="130">
        <v>6000</v>
      </c>
      <c r="J34" s="92"/>
      <c r="K34" s="93"/>
      <c r="L34" s="129">
        <f t="shared" ref="L34:L46" si="18">IF(L$11&gt;0, IF(K34&gt;0, K34, MAX(I34:J34)), 0)</f>
        <v>0</v>
      </c>
      <c r="M34" s="130">
        <v>6000</v>
      </c>
      <c r="N34" s="92"/>
      <c r="O34" s="93"/>
      <c r="P34" s="129">
        <f t="shared" ref="P34:P46" si="19">IF(P$11&gt;0, IF(O34&gt;0, O34, MAX(M34:N34)), 0)</f>
        <v>0</v>
      </c>
      <c r="Q34" s="130">
        <v>6000</v>
      </c>
      <c r="R34" s="92"/>
      <c r="S34" s="93"/>
      <c r="T34" s="129">
        <f t="shared" ref="T34:T46" si="20">IF(T$11&gt;0, IF(S34&gt;0, S34, MAX(Q34:R34)), 0)</f>
        <v>0</v>
      </c>
      <c r="U34" s="130">
        <v>6000</v>
      </c>
      <c r="V34" s="92"/>
      <c r="W34" s="93"/>
      <c r="X34" s="129">
        <f t="shared" ref="X34:X46" si="21">IF(X$11&gt;0, IF(W34&gt;0, W34, MAX(U34:V34)), 0)</f>
        <v>0</v>
      </c>
    </row>
    <row r="35" spans="1:24">
      <c r="B35" s="148" t="s">
        <v>43</v>
      </c>
      <c r="C35" s="149"/>
      <c r="D35" s="137">
        <f t="shared" si="0"/>
        <v>0</v>
      </c>
      <c r="E35" s="128"/>
      <c r="F35" s="92">
        <f>IF(H9&gt;0, ROUNDUP(H13*1.15*H11*2/H34,0), 0)</f>
        <v>0</v>
      </c>
      <c r="G35" s="92">
        <f>'1. Inputs'!C30+'1. Inputs'!C31</f>
        <v>0</v>
      </c>
      <c r="H35" s="129">
        <f t="shared" si="17"/>
        <v>0</v>
      </c>
      <c r="I35" s="128"/>
      <c r="J35" s="92">
        <f>IF(L9&gt;0, ROUNDUP(L13*1.15*L11*2/L34,0), 0)</f>
        <v>0</v>
      </c>
      <c r="K35" s="92">
        <f>'1. Inputs'!D30+'1. Inputs'!D31</f>
        <v>0</v>
      </c>
      <c r="L35" s="129">
        <f t="shared" si="18"/>
        <v>0</v>
      </c>
      <c r="M35" s="128"/>
      <c r="N35" s="92">
        <f>IF(P9&gt;0, ROUNDUP(P13*1.15*P11*2/P34,0), 0)</f>
        <v>0</v>
      </c>
      <c r="O35" s="92">
        <f>'1. Inputs'!E30+'1. Inputs'!E31</f>
        <v>0</v>
      </c>
      <c r="P35" s="129">
        <f t="shared" si="19"/>
        <v>0</v>
      </c>
      <c r="Q35" s="128"/>
      <c r="R35" s="92">
        <f>IF(T9&gt;0, ROUNDUP(T13*1.15*T11*2/T34,0), 0)</f>
        <v>0</v>
      </c>
      <c r="S35" s="92">
        <f>'1. Inputs'!F30+'1. Inputs'!F31</f>
        <v>0</v>
      </c>
      <c r="T35" s="129">
        <f t="shared" si="20"/>
        <v>0</v>
      </c>
      <c r="U35" s="128"/>
      <c r="V35" s="92">
        <f>IF(X9&gt;0, ROUNDUP(X13*1.15*X11*2/X34,0), 0)</f>
        <v>0</v>
      </c>
      <c r="W35" s="92">
        <f>'1. Inputs'!G30+'1. Inputs'!G31</f>
        <v>0</v>
      </c>
      <c r="X35" s="129">
        <f t="shared" si="21"/>
        <v>0</v>
      </c>
    </row>
    <row r="36" spans="1:24">
      <c r="B36" s="148" t="s">
        <v>44</v>
      </c>
      <c r="C36" s="149"/>
      <c r="D36" s="137">
        <f t="shared" si="0"/>
        <v>0</v>
      </c>
      <c r="E36" s="128"/>
      <c r="F36" s="92">
        <f>IF(AND(H9&gt;0, H28&gt;=1), H35/H28, 0)</f>
        <v>0</v>
      </c>
      <c r="G36" s="93"/>
      <c r="H36" s="129">
        <f t="shared" si="17"/>
        <v>0</v>
      </c>
      <c r="I36" s="128"/>
      <c r="J36" s="92">
        <f>IF(AND(L9&gt;0, L28&gt;=1), L35/L28, 0)</f>
        <v>0</v>
      </c>
      <c r="K36" s="93"/>
      <c r="L36" s="129">
        <f t="shared" si="18"/>
        <v>0</v>
      </c>
      <c r="M36" s="128"/>
      <c r="N36" s="92">
        <f>IF(AND(P9&gt;0, P28&gt;=1), P35/P28, 0)</f>
        <v>0</v>
      </c>
      <c r="O36" s="93"/>
      <c r="P36" s="129">
        <f t="shared" si="19"/>
        <v>0</v>
      </c>
      <c r="Q36" s="128"/>
      <c r="R36" s="92">
        <f>IF(AND(T9&gt;0, T28&gt;=1), T35/T28, 0)</f>
        <v>0</v>
      </c>
      <c r="S36" s="93"/>
      <c r="T36" s="129">
        <f t="shared" si="20"/>
        <v>0</v>
      </c>
      <c r="U36" s="128"/>
      <c r="V36" s="92">
        <f>IF(AND(X9&gt;0, X28&gt;=1), X35/X28, 0)</f>
        <v>0</v>
      </c>
      <c r="W36" s="93"/>
      <c r="X36" s="129">
        <f t="shared" si="21"/>
        <v>0</v>
      </c>
    </row>
    <row r="37" spans="1:24" ht="28.8">
      <c r="B37" s="148" t="s">
        <v>45</v>
      </c>
      <c r="C37" s="149" t="s">
        <v>46</v>
      </c>
      <c r="D37" s="137">
        <f t="shared" si="0"/>
        <v>0</v>
      </c>
      <c r="E37" s="130">
        <v>500</v>
      </c>
      <c r="F37" s="92"/>
      <c r="G37" s="93"/>
      <c r="H37" s="129">
        <f t="shared" si="17"/>
        <v>0</v>
      </c>
      <c r="I37" s="130">
        <v>500</v>
      </c>
      <c r="J37" s="92"/>
      <c r="K37" s="93"/>
      <c r="L37" s="129">
        <f t="shared" si="18"/>
        <v>0</v>
      </c>
      <c r="M37" s="130">
        <v>500</v>
      </c>
      <c r="N37" s="92"/>
      <c r="O37" s="93"/>
      <c r="P37" s="129">
        <f t="shared" si="19"/>
        <v>0</v>
      </c>
      <c r="Q37" s="130">
        <v>500</v>
      </c>
      <c r="R37" s="92"/>
      <c r="S37" s="93"/>
      <c r="T37" s="129">
        <f t="shared" si="20"/>
        <v>0</v>
      </c>
      <c r="U37" s="130">
        <v>500</v>
      </c>
      <c r="V37" s="92"/>
      <c r="W37" s="93"/>
      <c r="X37" s="129">
        <f t="shared" si="21"/>
        <v>0</v>
      </c>
    </row>
    <row r="38" spans="1:24">
      <c r="B38" s="148" t="s">
        <v>47</v>
      </c>
      <c r="C38" s="149"/>
      <c r="D38" s="137">
        <f t="shared" si="0"/>
        <v>0</v>
      </c>
      <c r="E38" s="128"/>
      <c r="F38" s="92">
        <f>IF(H9&gt;0, H9/(H37*0.8), 0)</f>
        <v>0</v>
      </c>
      <c r="G38" s="123">
        <f>'1. Inputs'!C32+'1. Inputs'!C33+'1. Inputs'!C34</f>
        <v>0</v>
      </c>
      <c r="H38" s="129">
        <f t="shared" si="17"/>
        <v>0</v>
      </c>
      <c r="I38" s="128"/>
      <c r="J38" s="92">
        <f>IF(L9&gt;0, L9/(L37*0.8), 0)</f>
        <v>0</v>
      </c>
      <c r="K38" s="123">
        <f>'1. Inputs'!D32+'1. Inputs'!D33+'1. Inputs'!D34</f>
        <v>0</v>
      </c>
      <c r="L38" s="129">
        <f t="shared" si="18"/>
        <v>0</v>
      </c>
      <c r="M38" s="128"/>
      <c r="N38" s="92">
        <f>IF(P9&gt;0, P9/(P37*0.8), 0)</f>
        <v>0</v>
      </c>
      <c r="O38" s="123">
        <f>'1. Inputs'!E32+'1. Inputs'!E33+'1. Inputs'!E34</f>
        <v>0</v>
      </c>
      <c r="P38" s="129">
        <f t="shared" si="19"/>
        <v>0</v>
      </c>
      <c r="Q38" s="128"/>
      <c r="R38" s="92">
        <f>IF(T9&gt;0, T9/(T37*0.8), 0)</f>
        <v>0</v>
      </c>
      <c r="S38" s="123">
        <f>'1. Inputs'!F32+'1. Inputs'!F33+'1. Inputs'!F34</f>
        <v>0</v>
      </c>
      <c r="T38" s="129">
        <f t="shared" si="20"/>
        <v>0</v>
      </c>
      <c r="U38" s="128"/>
      <c r="V38" s="92">
        <f>IF(X9&gt;0, X9/(X37*0.8), 0)</f>
        <v>0</v>
      </c>
      <c r="W38" s="123">
        <f>'1. Inputs'!G32+'1. Inputs'!G33+'1. Inputs'!G34</f>
        <v>0</v>
      </c>
      <c r="X38" s="129">
        <f t="shared" si="21"/>
        <v>0</v>
      </c>
    </row>
    <row r="39" spans="1:24">
      <c r="B39" s="148" t="s">
        <v>595</v>
      </c>
      <c r="C39" s="149"/>
      <c r="D39" s="137">
        <f t="shared" ref="D39:D40" si="22">H39+L39+P39+T39+X39</f>
        <v>0</v>
      </c>
      <c r="E39" s="128"/>
      <c r="F39" s="91">
        <f>ROUNDUP(H38*'1. Inputs'!C$45, 0)</f>
        <v>0</v>
      </c>
      <c r="G39" s="93"/>
      <c r="H39" s="131">
        <f t="shared" si="17"/>
        <v>0</v>
      </c>
      <c r="I39" s="128"/>
      <c r="J39" s="91">
        <f>ROUNDUP(L38*'1. Inputs'!D$45, 0)</f>
        <v>0</v>
      </c>
      <c r="K39" s="93"/>
      <c r="L39" s="131">
        <f t="shared" si="18"/>
        <v>0</v>
      </c>
      <c r="M39" s="128"/>
      <c r="N39" s="91">
        <f>ROUNDUP(P38*'1. Inputs'!E$45, 0)</f>
        <v>0</v>
      </c>
      <c r="O39" s="93"/>
      <c r="P39" s="131">
        <f t="shared" si="19"/>
        <v>0</v>
      </c>
      <c r="Q39" s="128"/>
      <c r="R39" s="91">
        <f>ROUNDUP(T38*'1. Inputs'!F$45, 0)</f>
        <v>0</v>
      </c>
      <c r="S39" s="93"/>
      <c r="T39" s="129">
        <f t="shared" si="20"/>
        <v>0</v>
      </c>
      <c r="U39" s="128"/>
      <c r="V39" s="91">
        <f>ROUNDUP(X38*'1. Inputs'!G$45, 0)</f>
        <v>0</v>
      </c>
      <c r="W39" s="93"/>
      <c r="X39" s="131"/>
    </row>
    <row r="40" spans="1:24">
      <c r="B40" s="148" t="s">
        <v>596</v>
      </c>
      <c r="C40" s="149"/>
      <c r="D40" s="137">
        <f t="shared" si="22"/>
        <v>0</v>
      </c>
      <c r="E40" s="128"/>
      <c r="F40" s="91">
        <f>ROUNDUP(H38*'1. Inputs'!C$46,0)</f>
        <v>0</v>
      </c>
      <c r="G40" s="93"/>
      <c r="H40" s="131">
        <f t="shared" si="17"/>
        <v>0</v>
      </c>
      <c r="I40" s="128"/>
      <c r="J40" s="91">
        <f>ROUNDUP(L38*'1. Inputs'!D$46,0)</f>
        <v>0</v>
      </c>
      <c r="K40" s="93"/>
      <c r="L40" s="131">
        <f t="shared" si="18"/>
        <v>0</v>
      </c>
      <c r="M40" s="128"/>
      <c r="N40" s="91">
        <f>ROUNDUP(P38*'1. Inputs'!E$46,0)</f>
        <v>0</v>
      </c>
      <c r="O40" s="93"/>
      <c r="P40" s="131">
        <f t="shared" si="19"/>
        <v>0</v>
      </c>
      <c r="Q40" s="128"/>
      <c r="R40" s="91">
        <f>ROUNDUP(T38*'1. Inputs'!F$46,0)</f>
        <v>0</v>
      </c>
      <c r="S40" s="93"/>
      <c r="T40" s="129">
        <f t="shared" si="20"/>
        <v>0</v>
      </c>
      <c r="U40" s="128"/>
      <c r="V40" s="91">
        <f>ROUNDUP(X38*'1. Inputs'!G$46,0)</f>
        <v>0</v>
      </c>
      <c r="W40" s="93"/>
      <c r="X40" s="131"/>
    </row>
    <row r="41" spans="1:24">
      <c r="B41" s="148" t="s">
        <v>48</v>
      </c>
      <c r="C41" s="149"/>
      <c r="D41" s="137">
        <f t="shared" si="0"/>
        <v>0</v>
      </c>
      <c r="E41" s="128"/>
      <c r="F41" s="92">
        <f>IF(H9&gt;0, H38/H36, 0)</f>
        <v>0</v>
      </c>
      <c r="G41" s="93"/>
      <c r="H41" s="129">
        <f t="shared" si="17"/>
        <v>0</v>
      </c>
      <c r="I41" s="128"/>
      <c r="J41" s="92">
        <f>IF(L9&gt;0, L38/L36, 0)</f>
        <v>0</v>
      </c>
      <c r="K41" s="93"/>
      <c r="L41" s="129">
        <f t="shared" si="18"/>
        <v>0</v>
      </c>
      <c r="M41" s="128"/>
      <c r="N41" s="92">
        <f>IF(P9&gt;0, P38/P36, 0)</f>
        <v>0</v>
      </c>
      <c r="O41" s="93"/>
      <c r="P41" s="129">
        <f t="shared" si="19"/>
        <v>0</v>
      </c>
      <c r="Q41" s="128"/>
      <c r="R41" s="92">
        <f>IF(T9&gt;0, T38/T36, 0)</f>
        <v>0</v>
      </c>
      <c r="S41" s="93"/>
      <c r="T41" s="129">
        <f t="shared" si="20"/>
        <v>0</v>
      </c>
      <c r="U41" s="128"/>
      <c r="V41" s="92">
        <f>IF(X9&gt;0, X38/X36, 0)</f>
        <v>0</v>
      </c>
      <c r="W41" s="93"/>
      <c r="X41" s="129">
        <f t="shared" si="21"/>
        <v>0</v>
      </c>
    </row>
    <row r="42" spans="1:24" ht="28.8">
      <c r="B42" s="148" t="s">
        <v>49</v>
      </c>
      <c r="C42" s="149" t="s">
        <v>50</v>
      </c>
      <c r="D42" s="137">
        <f t="shared" si="0"/>
        <v>0</v>
      </c>
      <c r="E42" s="130">
        <v>300</v>
      </c>
      <c r="F42" s="92"/>
      <c r="G42" s="93"/>
      <c r="H42" s="129">
        <f t="shared" si="17"/>
        <v>0</v>
      </c>
      <c r="I42" s="130">
        <v>300</v>
      </c>
      <c r="J42" s="92"/>
      <c r="K42" s="93"/>
      <c r="L42" s="129">
        <f t="shared" si="18"/>
        <v>0</v>
      </c>
      <c r="M42" s="130">
        <v>300</v>
      </c>
      <c r="N42" s="92"/>
      <c r="O42" s="93"/>
      <c r="P42" s="129">
        <f t="shared" si="19"/>
        <v>0</v>
      </c>
      <c r="Q42" s="130">
        <v>300</v>
      </c>
      <c r="R42" s="92"/>
      <c r="S42" s="93"/>
      <c r="T42" s="129">
        <f t="shared" si="20"/>
        <v>0</v>
      </c>
      <c r="U42" s="130">
        <v>300</v>
      </c>
      <c r="V42" s="92"/>
      <c r="W42" s="93"/>
      <c r="X42" s="129">
        <f t="shared" si="21"/>
        <v>0</v>
      </c>
    </row>
    <row r="43" spans="1:24">
      <c r="B43" s="148" t="s">
        <v>51</v>
      </c>
      <c r="C43" s="149"/>
      <c r="D43" s="137">
        <f t="shared" si="0"/>
        <v>0</v>
      </c>
      <c r="E43" s="128"/>
      <c r="F43" s="91">
        <f>IF(H9&gt;0, H42*H38/1000, 0)</f>
        <v>0</v>
      </c>
      <c r="G43" s="93"/>
      <c r="H43" s="131">
        <f t="shared" si="17"/>
        <v>0</v>
      </c>
      <c r="I43" s="128"/>
      <c r="J43" s="91">
        <f>IF(L9&gt;0, L42*L38/1000, 0)</f>
        <v>0</v>
      </c>
      <c r="K43" s="93"/>
      <c r="L43" s="131">
        <f t="shared" si="18"/>
        <v>0</v>
      </c>
      <c r="M43" s="128"/>
      <c r="N43" s="91">
        <f>IF(P9&gt;0, P42*P38/1000, 0)</f>
        <v>0</v>
      </c>
      <c r="O43" s="93"/>
      <c r="P43" s="131">
        <f t="shared" si="19"/>
        <v>0</v>
      </c>
      <c r="Q43" s="128"/>
      <c r="R43" s="91">
        <f>IF(T9&gt;0, T42*T38/1000, 0)</f>
        <v>0</v>
      </c>
      <c r="S43" s="93"/>
      <c r="T43" s="131">
        <f t="shared" si="20"/>
        <v>0</v>
      </c>
      <c r="U43" s="128"/>
      <c r="V43" s="91">
        <f>IF(X9&gt;0, X42*X38/1000, 0)</f>
        <v>0</v>
      </c>
      <c r="W43" s="93"/>
      <c r="X43" s="131">
        <f t="shared" si="21"/>
        <v>0</v>
      </c>
    </row>
    <row r="44" spans="1:24">
      <c r="B44" s="148" t="s">
        <v>590</v>
      </c>
      <c r="C44" s="149"/>
      <c r="D44" s="137">
        <f t="shared" ref="D44:D45" si="23">H44+L44+P44+T44+X44</f>
        <v>0</v>
      </c>
      <c r="E44" s="128"/>
      <c r="F44" s="91">
        <f>H43*'1. Inputs'!C$45</f>
        <v>0</v>
      </c>
      <c r="G44" s="162"/>
      <c r="H44" s="131">
        <f t="shared" si="17"/>
        <v>0</v>
      </c>
      <c r="I44" s="128"/>
      <c r="J44" s="91">
        <f>L43*'1. Inputs'!D$45</f>
        <v>0</v>
      </c>
      <c r="K44" s="93"/>
      <c r="L44" s="131">
        <f t="shared" si="18"/>
        <v>0</v>
      </c>
      <c r="M44" s="128"/>
      <c r="N44" s="91">
        <f>P43*'1. Inputs'!E$45</f>
        <v>0</v>
      </c>
      <c r="O44" s="93"/>
      <c r="P44" s="131">
        <f t="shared" si="19"/>
        <v>0</v>
      </c>
      <c r="Q44" s="128"/>
      <c r="R44" s="91">
        <f>T43*'1. Inputs'!F$45</f>
        <v>0</v>
      </c>
      <c r="S44" s="93"/>
      <c r="T44" s="131"/>
      <c r="U44" s="128"/>
      <c r="V44" s="91">
        <f>X43*'1. Inputs'!G$45</f>
        <v>0</v>
      </c>
      <c r="W44" s="93"/>
      <c r="X44" s="131"/>
    </row>
    <row r="45" spans="1:24">
      <c r="B45" s="148" t="s">
        <v>591</v>
      </c>
      <c r="C45" s="149"/>
      <c r="D45" s="137">
        <f t="shared" si="23"/>
        <v>0</v>
      </c>
      <c r="E45" s="128"/>
      <c r="F45" s="91">
        <f>H43*'1. Inputs'!C$46</f>
        <v>0</v>
      </c>
      <c r="G45" s="93"/>
      <c r="H45" s="131">
        <f t="shared" si="17"/>
        <v>0</v>
      </c>
      <c r="I45" s="128"/>
      <c r="J45" s="91">
        <f>L43*'1. Inputs'!D$46</f>
        <v>0</v>
      </c>
      <c r="K45" s="93"/>
      <c r="L45" s="131">
        <f t="shared" si="18"/>
        <v>0</v>
      </c>
      <c r="M45" s="128"/>
      <c r="N45" s="91">
        <f>P43*'1. Inputs'!E$46</f>
        <v>0</v>
      </c>
      <c r="O45" s="93"/>
      <c r="P45" s="131">
        <f t="shared" si="19"/>
        <v>0</v>
      </c>
      <c r="Q45" s="128"/>
      <c r="R45" s="91">
        <f>T43*'1. Inputs'!F$46</f>
        <v>0</v>
      </c>
      <c r="S45" s="93"/>
      <c r="T45" s="131"/>
      <c r="U45" s="128"/>
      <c r="V45" s="91">
        <f>X43*'1. Inputs'!G$46</f>
        <v>0</v>
      </c>
      <c r="W45" s="93"/>
      <c r="X45" s="131"/>
    </row>
    <row r="46" spans="1:24">
      <c r="B46" s="148" t="s">
        <v>52</v>
      </c>
      <c r="C46" s="149" t="s">
        <v>53</v>
      </c>
      <c r="D46" s="137">
        <f t="shared" si="0"/>
        <v>0</v>
      </c>
      <c r="E46" s="128"/>
      <c r="F46" s="91">
        <f>IF(H9&gt;0, H43/(H35/2),0)</f>
        <v>0</v>
      </c>
      <c r="G46" s="93"/>
      <c r="H46" s="131">
        <f t="shared" ref="H46:H64" si="24">IF(H$11&gt;0, IF(G46&gt;0, G46, MAX(E46:F46)), 0)</f>
        <v>0</v>
      </c>
      <c r="I46" s="128"/>
      <c r="J46" s="91">
        <f>IF(L9&gt;0, L43/(L35/2),0)</f>
        <v>0</v>
      </c>
      <c r="K46" s="93"/>
      <c r="L46" s="131">
        <f t="shared" si="18"/>
        <v>0</v>
      </c>
      <c r="M46" s="128"/>
      <c r="N46" s="91">
        <f>IF(P9&gt;0, P43/(P35/2),0)</f>
        <v>0</v>
      </c>
      <c r="O46" s="93"/>
      <c r="P46" s="131">
        <f t="shared" si="19"/>
        <v>0</v>
      </c>
      <c r="Q46" s="128"/>
      <c r="R46" s="91">
        <f>IF(T9&gt;0, T43/(T35/2),0)</f>
        <v>0</v>
      </c>
      <c r="S46" s="93"/>
      <c r="T46" s="131">
        <f t="shared" si="20"/>
        <v>0</v>
      </c>
      <c r="U46" s="128"/>
      <c r="V46" s="91">
        <f>IF(X9&gt;0, X43/(X35/2),0)</f>
        <v>0</v>
      </c>
      <c r="W46" s="93"/>
      <c r="X46" s="131">
        <f t="shared" si="21"/>
        <v>0</v>
      </c>
    </row>
    <row r="47" spans="1:24">
      <c r="A47" s="155">
        <v>7</v>
      </c>
      <c r="B47" s="150" t="s">
        <v>549</v>
      </c>
      <c r="C47" s="149"/>
      <c r="D47" s="137"/>
      <c r="E47" s="128"/>
      <c r="F47" s="91"/>
      <c r="G47" s="123"/>
      <c r="H47" s="131"/>
      <c r="I47" s="128"/>
      <c r="J47" s="91"/>
      <c r="K47" s="123"/>
      <c r="L47" s="131"/>
      <c r="M47" s="128"/>
      <c r="N47" s="91"/>
      <c r="O47" s="123"/>
      <c r="P47" s="131"/>
      <c r="Q47" s="128"/>
      <c r="R47" s="91"/>
      <c r="S47" s="123"/>
      <c r="T47" s="131"/>
      <c r="U47" s="128"/>
      <c r="V47" s="91"/>
      <c r="W47" s="123"/>
      <c r="X47" s="131"/>
    </row>
    <row r="48" spans="1:24" ht="28.8">
      <c r="B48" s="148" t="s">
        <v>54</v>
      </c>
      <c r="C48" s="149"/>
      <c r="D48" s="137">
        <f t="shared" si="0"/>
        <v>0</v>
      </c>
      <c r="E48" s="130">
        <v>5</v>
      </c>
      <c r="F48" s="92"/>
      <c r="G48" s="93"/>
      <c r="H48" s="131">
        <f t="shared" si="24"/>
        <v>0</v>
      </c>
      <c r="I48" s="130">
        <v>5</v>
      </c>
      <c r="J48" s="92"/>
      <c r="K48" s="93"/>
      <c r="L48" s="131">
        <f t="shared" ref="L48:L56" si="25">IF(L$11&gt;0, IF(K48&gt;0, K48, MAX(I48:J48)), 0)</f>
        <v>0</v>
      </c>
      <c r="M48" s="130">
        <v>5</v>
      </c>
      <c r="N48" s="92"/>
      <c r="O48" s="93"/>
      <c r="P48" s="131">
        <f t="shared" ref="P48:P56" si="26">IF(P$11&gt;0, IF(O48&gt;0, O48, MAX(M48:N48)), 0)</f>
        <v>0</v>
      </c>
      <c r="Q48" s="130">
        <v>5</v>
      </c>
      <c r="R48" s="92"/>
      <c r="S48" s="93"/>
      <c r="T48" s="131">
        <f t="shared" ref="T48:T56" si="27">IF(T$11&gt;0, IF(S48&gt;0, S48, MAX(Q48:R48)), 0)</f>
        <v>0</v>
      </c>
      <c r="U48" s="130">
        <v>5</v>
      </c>
      <c r="V48" s="92"/>
      <c r="W48" s="93"/>
      <c r="X48" s="131">
        <f t="shared" ref="X48:X56" si="28">IF(X$11&gt;0, IF(W48&gt;0, W48, MAX(U48:V48)), 0)</f>
        <v>0</v>
      </c>
    </row>
    <row r="49" spans="1:24">
      <c r="B49" s="148" t="s">
        <v>55</v>
      </c>
      <c r="C49" s="149"/>
      <c r="D49" s="137">
        <f t="shared" si="0"/>
        <v>0</v>
      </c>
      <c r="E49" s="128"/>
      <c r="F49" s="92">
        <f>IF(H9&gt;0, H48*H38, 0)</f>
        <v>0</v>
      </c>
      <c r="G49" s="93"/>
      <c r="H49" s="131">
        <f t="shared" si="24"/>
        <v>0</v>
      </c>
      <c r="I49" s="128"/>
      <c r="J49" s="92">
        <f>IF(L9&gt;0, L48*L38, 0)</f>
        <v>0</v>
      </c>
      <c r="K49" s="93"/>
      <c r="L49" s="131">
        <f t="shared" si="25"/>
        <v>0</v>
      </c>
      <c r="M49" s="128"/>
      <c r="N49" s="92">
        <f>IF(P9&gt;0, P48*P38, 0)</f>
        <v>0</v>
      </c>
      <c r="O49" s="93"/>
      <c r="P49" s="131">
        <f t="shared" si="26"/>
        <v>0</v>
      </c>
      <c r="Q49" s="128"/>
      <c r="R49" s="92">
        <f>IF(T9&gt;0, T48*T38, 0)</f>
        <v>0</v>
      </c>
      <c r="S49" s="93"/>
      <c r="T49" s="131">
        <f t="shared" si="27"/>
        <v>0</v>
      </c>
      <c r="U49" s="128"/>
      <c r="V49" s="92">
        <f>IF(X9&gt;0, X48*X38, 0)</f>
        <v>0</v>
      </c>
      <c r="W49" s="93"/>
      <c r="X49" s="131">
        <f t="shared" si="28"/>
        <v>0</v>
      </c>
    </row>
    <row r="50" spans="1:24">
      <c r="B50" s="148" t="s">
        <v>56</v>
      </c>
      <c r="C50" s="149" t="s">
        <v>57</v>
      </c>
      <c r="D50" s="137">
        <f t="shared" si="0"/>
        <v>0</v>
      </c>
      <c r="E50" s="130">
        <v>250</v>
      </c>
      <c r="F50" s="92"/>
      <c r="G50" s="93"/>
      <c r="H50" s="131">
        <f t="shared" si="24"/>
        <v>0</v>
      </c>
      <c r="I50" s="130">
        <v>250</v>
      </c>
      <c r="J50" s="92"/>
      <c r="K50" s="93"/>
      <c r="L50" s="131">
        <f t="shared" si="25"/>
        <v>0</v>
      </c>
      <c r="M50" s="130">
        <v>250</v>
      </c>
      <c r="N50" s="92"/>
      <c r="O50" s="93"/>
      <c r="P50" s="131">
        <f t="shared" si="26"/>
        <v>0</v>
      </c>
      <c r="Q50" s="130">
        <v>250</v>
      </c>
      <c r="R50" s="92"/>
      <c r="S50" s="93"/>
      <c r="T50" s="131">
        <f t="shared" si="27"/>
        <v>0</v>
      </c>
      <c r="U50" s="130">
        <v>250</v>
      </c>
      <c r="V50" s="92"/>
      <c r="W50" s="93"/>
      <c r="X50" s="131">
        <f t="shared" si="28"/>
        <v>0</v>
      </c>
    </row>
    <row r="51" spans="1:24">
      <c r="B51" s="148" t="s">
        <v>58</v>
      </c>
      <c r="C51" s="149"/>
      <c r="D51" s="137">
        <f t="shared" si="0"/>
        <v>0</v>
      </c>
      <c r="E51" s="128"/>
      <c r="F51" s="91">
        <f>IF(H9&gt;0, (H50/1000)*H48*H38, 0)</f>
        <v>0</v>
      </c>
      <c r="G51" s="93"/>
      <c r="H51" s="131">
        <f t="shared" si="24"/>
        <v>0</v>
      </c>
      <c r="I51" s="128"/>
      <c r="J51" s="91">
        <f>IF(L9&gt;0, (L50/1000)*L48*L38, 0)</f>
        <v>0</v>
      </c>
      <c r="K51" s="93"/>
      <c r="L51" s="131">
        <f t="shared" si="25"/>
        <v>0</v>
      </c>
      <c r="M51" s="128"/>
      <c r="N51" s="91">
        <f>IF(P9&gt;0, (P50/1000)*P48*P38, 0)</f>
        <v>0</v>
      </c>
      <c r="O51" s="93"/>
      <c r="P51" s="131">
        <f t="shared" si="26"/>
        <v>0</v>
      </c>
      <c r="Q51" s="128"/>
      <c r="R51" s="91">
        <f>IF(T9&gt;0, (T50/1000)*T48*T38, 0)</f>
        <v>0</v>
      </c>
      <c r="S51" s="93"/>
      <c r="T51" s="131">
        <f t="shared" si="27"/>
        <v>0</v>
      </c>
      <c r="U51" s="128"/>
      <c r="V51" s="91">
        <f>IF(X9&gt;0, (X50/1000)*X48*X38, 0)</f>
        <v>0</v>
      </c>
      <c r="W51" s="93"/>
      <c r="X51" s="131">
        <f t="shared" si="28"/>
        <v>0</v>
      </c>
    </row>
    <row r="52" spans="1:24">
      <c r="B52" s="148" t="s">
        <v>588</v>
      </c>
      <c r="C52" s="149"/>
      <c r="D52" s="163">
        <f t="shared" si="0"/>
        <v>0</v>
      </c>
      <c r="E52" s="128"/>
      <c r="F52" s="91">
        <f>H51*'1. Inputs'!C$45</f>
        <v>0</v>
      </c>
      <c r="G52" s="93"/>
      <c r="H52" s="131">
        <f t="shared" si="24"/>
        <v>0</v>
      </c>
      <c r="I52" s="128"/>
      <c r="J52" s="91">
        <f>L51*'1. Inputs'!D$45</f>
        <v>0</v>
      </c>
      <c r="K52" s="93"/>
      <c r="L52" s="131">
        <f t="shared" si="25"/>
        <v>0</v>
      </c>
      <c r="M52" s="128"/>
      <c r="N52" s="91">
        <f>P51*'1. Inputs'!E$45</f>
        <v>0</v>
      </c>
      <c r="O52" s="93"/>
      <c r="P52" s="131">
        <f t="shared" si="26"/>
        <v>0</v>
      </c>
      <c r="Q52" s="128"/>
      <c r="R52" s="91">
        <f>T51*'1. Inputs'!F$45</f>
        <v>0</v>
      </c>
      <c r="S52" s="93"/>
      <c r="T52" s="131">
        <f t="shared" si="27"/>
        <v>0</v>
      </c>
      <c r="U52" s="128"/>
      <c r="V52" s="91">
        <f>X51*'1. Inputs'!G$45</f>
        <v>0</v>
      </c>
      <c r="W52" s="93"/>
      <c r="X52" s="131">
        <f t="shared" si="28"/>
        <v>0</v>
      </c>
    </row>
    <row r="53" spans="1:24">
      <c r="B53" s="148" t="s">
        <v>589</v>
      </c>
      <c r="C53" s="149"/>
      <c r="D53" s="163">
        <f t="shared" si="0"/>
        <v>0</v>
      </c>
      <c r="E53" s="128"/>
      <c r="F53" s="91">
        <f>H51*'1. Inputs'!C$46</f>
        <v>0</v>
      </c>
      <c r="G53" s="162"/>
      <c r="H53" s="131">
        <f t="shared" si="24"/>
        <v>0</v>
      </c>
      <c r="I53" s="128"/>
      <c r="J53" s="91">
        <f>L51*'1. Inputs'!D$46</f>
        <v>0</v>
      </c>
      <c r="K53" s="93"/>
      <c r="L53" s="131">
        <f t="shared" si="25"/>
        <v>0</v>
      </c>
      <c r="M53" s="128"/>
      <c r="N53" s="91">
        <f>P51*'1. Inputs'!E$46</f>
        <v>0</v>
      </c>
      <c r="O53" s="93"/>
      <c r="P53" s="131">
        <f t="shared" si="26"/>
        <v>0</v>
      </c>
      <c r="Q53" s="128"/>
      <c r="R53" s="91">
        <f>T51*'1. Inputs'!F$46</f>
        <v>0</v>
      </c>
      <c r="S53" s="93"/>
      <c r="T53" s="131">
        <f t="shared" si="27"/>
        <v>0</v>
      </c>
      <c r="U53" s="128"/>
      <c r="V53" s="91">
        <f>X51*'1. Inputs'!G$46</f>
        <v>0</v>
      </c>
      <c r="W53" s="93"/>
      <c r="X53" s="131">
        <f t="shared" si="28"/>
        <v>0</v>
      </c>
    </row>
    <row r="54" spans="1:24">
      <c r="B54" s="148" t="s">
        <v>546</v>
      </c>
      <c r="C54" s="149"/>
      <c r="D54" s="137">
        <f t="shared" si="0"/>
        <v>0</v>
      </c>
      <c r="E54" s="130">
        <v>4</v>
      </c>
      <c r="F54" s="91"/>
      <c r="G54" s="93"/>
      <c r="H54" s="131">
        <f t="shared" si="24"/>
        <v>0</v>
      </c>
      <c r="I54" s="130">
        <v>4</v>
      </c>
      <c r="J54" s="91"/>
      <c r="K54" s="93"/>
      <c r="L54" s="131">
        <f t="shared" si="25"/>
        <v>0</v>
      </c>
      <c r="M54" s="130">
        <v>4</v>
      </c>
      <c r="N54" s="91"/>
      <c r="O54" s="93"/>
      <c r="P54" s="131">
        <f t="shared" si="26"/>
        <v>0</v>
      </c>
      <c r="Q54" s="130">
        <v>4</v>
      </c>
      <c r="R54" s="91"/>
      <c r="S54" s="93"/>
      <c r="T54" s="131">
        <f t="shared" si="27"/>
        <v>0</v>
      </c>
      <c r="U54" s="130">
        <v>4</v>
      </c>
      <c r="V54" s="91"/>
      <c r="W54" s="93"/>
      <c r="X54" s="131">
        <f t="shared" si="28"/>
        <v>0</v>
      </c>
    </row>
    <row r="55" spans="1:24">
      <c r="B55" s="148" t="s">
        <v>547</v>
      </c>
      <c r="C55" s="149"/>
      <c r="D55" s="137">
        <f t="shared" si="0"/>
        <v>0</v>
      </c>
      <c r="E55" s="130">
        <f>SQRT(H60)*2</f>
        <v>0</v>
      </c>
      <c r="F55" s="91"/>
      <c r="G55" s="93"/>
      <c r="H55" s="131">
        <f t="shared" si="24"/>
        <v>0</v>
      </c>
      <c r="I55" s="130">
        <f>SQRT(L60)*2</f>
        <v>0</v>
      </c>
      <c r="J55" s="91"/>
      <c r="K55" s="93"/>
      <c r="L55" s="131">
        <f t="shared" si="25"/>
        <v>0</v>
      </c>
      <c r="M55" s="130">
        <f>SQRT(P60)*2</f>
        <v>0</v>
      </c>
      <c r="N55" s="91"/>
      <c r="O55" s="93"/>
      <c r="P55" s="131">
        <f t="shared" si="26"/>
        <v>0</v>
      </c>
      <c r="Q55" s="130">
        <f>SQRT(T60)*2</f>
        <v>0</v>
      </c>
      <c r="R55" s="91"/>
      <c r="S55" s="93"/>
      <c r="T55" s="131">
        <f t="shared" si="27"/>
        <v>0</v>
      </c>
      <c r="U55" s="130">
        <f>SQRT(X60)*2</f>
        <v>0</v>
      </c>
      <c r="V55" s="91"/>
      <c r="W55" s="93"/>
      <c r="X55" s="131">
        <f t="shared" si="28"/>
        <v>0</v>
      </c>
    </row>
    <row r="56" spans="1:24">
      <c r="B56" s="148" t="s">
        <v>548</v>
      </c>
      <c r="C56" s="149"/>
      <c r="D56" s="137">
        <f t="shared" si="0"/>
        <v>0</v>
      </c>
      <c r="E56" s="128"/>
      <c r="F56" s="92">
        <f>IF(H9&gt;0, ROUNDUP(H51*1000/E55,0), 0)</f>
        <v>0</v>
      </c>
      <c r="G56" s="93"/>
      <c r="H56" s="131">
        <f t="shared" si="24"/>
        <v>0</v>
      </c>
      <c r="I56" s="128"/>
      <c r="J56" s="92">
        <f>IF(L9&gt;0, ROUNDUP(L51*1000/I55,0), 0)</f>
        <v>0</v>
      </c>
      <c r="K56" s="93"/>
      <c r="L56" s="131">
        <f t="shared" si="25"/>
        <v>0</v>
      </c>
      <c r="M56" s="128"/>
      <c r="N56" s="92">
        <f>IF(P9&gt;0, ROUNDUP(P51*1000/M55,0), 0)</f>
        <v>0</v>
      </c>
      <c r="O56" s="93"/>
      <c r="P56" s="131">
        <f t="shared" si="26"/>
        <v>0</v>
      </c>
      <c r="Q56" s="128"/>
      <c r="R56" s="92">
        <f>IF(T9&gt;0, ROUNDUP(T51*1000/Q55,0), 0)</f>
        <v>0</v>
      </c>
      <c r="S56" s="93"/>
      <c r="T56" s="131">
        <f t="shared" si="27"/>
        <v>0</v>
      </c>
      <c r="U56" s="128"/>
      <c r="V56" s="92">
        <f>IF(X9&gt;0, ROUNDUP(X51*1000/U55,0), 0)</f>
        <v>0</v>
      </c>
      <c r="W56" s="93"/>
      <c r="X56" s="131">
        <f t="shared" si="28"/>
        <v>0</v>
      </c>
    </row>
    <row r="57" spans="1:24">
      <c r="B57" s="148" t="s">
        <v>552</v>
      </c>
      <c r="C57" s="149"/>
      <c r="D57" s="137">
        <f t="shared" si="0"/>
        <v>0</v>
      </c>
      <c r="E57" s="128"/>
      <c r="F57" s="92">
        <f>H56*H54</f>
        <v>0</v>
      </c>
      <c r="G57" s="123">
        <f>'1. Inputs'!C40+'1. Inputs'!C39</f>
        <v>0</v>
      </c>
      <c r="H57" s="131">
        <f>IF(H$11&gt;0, IF(G57&gt;0, G57, MAX(E57:F57)), 0)</f>
        <v>0</v>
      </c>
      <c r="I57" s="128"/>
      <c r="J57" s="92">
        <f>L56*L54</f>
        <v>0</v>
      </c>
      <c r="K57" s="123">
        <f>'1. Inputs'!D40+'1. Inputs'!D39</f>
        <v>0</v>
      </c>
      <c r="L57" s="131">
        <f>IF(L$11&gt;0, IF(K57&gt;0, K57, MAX(I57:J57)), 0)</f>
        <v>0</v>
      </c>
      <c r="M57" s="128"/>
      <c r="N57" s="92">
        <f>P56*P54</f>
        <v>0</v>
      </c>
      <c r="O57" s="123">
        <f>'1. Inputs'!E40+'1. Inputs'!E39</f>
        <v>0</v>
      </c>
      <c r="P57" s="131">
        <f>IF(P$11&gt;0, IF(O57&gt;0, O57, MAX(M57:N57)), 0)</f>
        <v>0</v>
      </c>
      <c r="Q57" s="128"/>
      <c r="R57" s="92">
        <f>T56*T54</f>
        <v>0</v>
      </c>
      <c r="S57" s="123">
        <f>'1. Inputs'!F40+'1. Inputs'!F39</f>
        <v>0</v>
      </c>
      <c r="T57" s="131">
        <f>IF(T$11&gt;0, IF(S57&gt;0, S57, MAX(Q57:R57)), 0)</f>
        <v>0</v>
      </c>
      <c r="U57" s="128"/>
      <c r="V57" s="92">
        <f>X56*X54</f>
        <v>0</v>
      </c>
      <c r="W57" s="123">
        <f>'1. Inputs'!G40+'1. Inputs'!G39</f>
        <v>0</v>
      </c>
      <c r="X57" s="131">
        <f>IF(X$11&gt;0, IF(W57&gt;0, W57, MAX(U57:V57)), 0)</f>
        <v>0</v>
      </c>
    </row>
    <row r="58" spans="1:24">
      <c r="A58" s="155">
        <v>8</v>
      </c>
      <c r="B58" s="150" t="s">
        <v>551</v>
      </c>
      <c r="C58" s="149"/>
      <c r="D58" s="137"/>
      <c r="E58" s="128"/>
      <c r="F58" s="92"/>
      <c r="G58" s="123"/>
      <c r="H58" s="131"/>
      <c r="I58" s="128"/>
      <c r="J58" s="92"/>
      <c r="K58" s="123"/>
      <c r="L58" s="131"/>
      <c r="M58" s="128"/>
      <c r="N58" s="92"/>
      <c r="O58" s="123"/>
      <c r="P58" s="131"/>
      <c r="Q58" s="128"/>
      <c r="R58" s="92"/>
      <c r="S58" s="123"/>
      <c r="T58" s="131"/>
      <c r="U58" s="128"/>
      <c r="V58" s="92"/>
      <c r="W58" s="123"/>
      <c r="X58" s="131"/>
    </row>
    <row r="59" spans="1:24" ht="28.8">
      <c r="B59" s="148" t="s">
        <v>59</v>
      </c>
      <c r="C59" s="149"/>
      <c r="D59" s="137">
        <f t="shared" si="0"/>
        <v>0</v>
      </c>
      <c r="E59" s="130">
        <v>40</v>
      </c>
      <c r="F59" s="92"/>
      <c r="G59" s="93"/>
      <c r="H59" s="131">
        <f t="shared" si="24"/>
        <v>0</v>
      </c>
      <c r="I59" s="130">
        <v>40</v>
      </c>
      <c r="J59" s="92"/>
      <c r="K59" s="93"/>
      <c r="L59" s="131">
        <f t="shared" ref="L59:L64" si="29">IF(L$11&gt;0, IF(K59&gt;0, K59, MAX(I59:J59)), 0)</f>
        <v>0</v>
      </c>
      <c r="M59" s="130">
        <v>40</v>
      </c>
      <c r="N59" s="92"/>
      <c r="O59" s="93"/>
      <c r="P59" s="131">
        <f t="shared" ref="P59:P64" si="30">IF(P$11&gt;0, IF(O59&gt;0, O59, MAX(M59:N59)), 0)</f>
        <v>0</v>
      </c>
      <c r="Q59" s="130">
        <v>40</v>
      </c>
      <c r="R59" s="92"/>
      <c r="S59" s="93"/>
      <c r="T59" s="131">
        <f t="shared" ref="T59:T64" si="31">IF(T$11&gt;0, IF(S59&gt;0, S59, MAX(Q59:R59)), 0)</f>
        <v>0</v>
      </c>
      <c r="U59" s="130">
        <v>40</v>
      </c>
      <c r="V59" s="92"/>
      <c r="W59" s="93"/>
      <c r="X59" s="131">
        <f t="shared" ref="X59:X64" si="32">IF(X$11&gt;0, IF(W59&gt;0, W59, MAX(U59:V59)), 0)</f>
        <v>0</v>
      </c>
    </row>
    <row r="60" spans="1:24" ht="16.2">
      <c r="B60" s="148" t="s">
        <v>60</v>
      </c>
      <c r="C60" s="149"/>
      <c r="D60" s="137">
        <f t="shared" si="0"/>
        <v>0</v>
      </c>
      <c r="E60" s="130">
        <v>600</v>
      </c>
      <c r="F60" s="92"/>
      <c r="G60" s="93"/>
      <c r="H60" s="131">
        <f t="shared" si="24"/>
        <v>0</v>
      </c>
      <c r="I60" s="130">
        <v>600</v>
      </c>
      <c r="J60" s="92"/>
      <c r="K60" s="93"/>
      <c r="L60" s="131">
        <f t="shared" si="29"/>
        <v>0</v>
      </c>
      <c r="M60" s="130">
        <v>600</v>
      </c>
      <c r="N60" s="92"/>
      <c r="O60" s="93"/>
      <c r="P60" s="131">
        <f t="shared" si="30"/>
        <v>0</v>
      </c>
      <c r="Q60" s="130">
        <v>600</v>
      </c>
      <c r="R60" s="92"/>
      <c r="S60" s="93"/>
      <c r="T60" s="131">
        <f t="shared" si="31"/>
        <v>0</v>
      </c>
      <c r="U60" s="130">
        <v>600</v>
      </c>
      <c r="V60" s="92"/>
      <c r="W60" s="93"/>
      <c r="X60" s="131">
        <f t="shared" si="32"/>
        <v>0</v>
      </c>
    </row>
    <row r="61" spans="1:24">
      <c r="B61" s="148" t="s">
        <v>61</v>
      </c>
      <c r="C61" s="149"/>
      <c r="D61" s="137">
        <f>H61+L61+P61+T61+X61</f>
        <v>0</v>
      </c>
      <c r="E61" s="128"/>
      <c r="F61" s="91">
        <f>IF(H9&gt;0,  (H57+'1. Inputs'!C36+'1. Inputs'!C37+'1. Inputs'!C38)*SQRT(H60)/2/1000, 0)</f>
        <v>0</v>
      </c>
      <c r="G61" s="93"/>
      <c r="H61" s="131">
        <f t="shared" si="24"/>
        <v>0</v>
      </c>
      <c r="I61" s="128"/>
      <c r="J61" s="91">
        <f>IF(L9&gt;0,  (L57+'1. Inputs'!D36+'1. Inputs'!D37+'1. Inputs'!D38)*SQRT(L60)/2/1000, 0)</f>
        <v>0</v>
      </c>
      <c r="K61" s="93"/>
      <c r="L61" s="131">
        <f t="shared" si="29"/>
        <v>0</v>
      </c>
      <c r="M61" s="128"/>
      <c r="N61" s="91">
        <f>IF(P9&gt;0,  (P57+'1. Inputs'!E36+'1. Inputs'!E37+'1. Inputs'!E38)*SQRT(P60)/2/1000, 0)</f>
        <v>0</v>
      </c>
      <c r="O61" s="93"/>
      <c r="P61" s="131">
        <f t="shared" si="30"/>
        <v>0</v>
      </c>
      <c r="Q61" s="128"/>
      <c r="R61" s="91">
        <f>IF(T9&gt;0,  (T57+'1. Inputs'!F36+'1. Inputs'!F37+'1. Inputs'!F38)*SQRT(T60)/2/1000, 0)</f>
        <v>0</v>
      </c>
      <c r="S61" s="93"/>
      <c r="T61" s="131">
        <f t="shared" si="31"/>
        <v>0</v>
      </c>
      <c r="U61" s="128"/>
      <c r="V61" s="91">
        <f>IF(X9&gt;0,  (X57+'1. Inputs'!G36+'1. Inputs'!G37+'1. Inputs'!G38)*SQRT(X60)/2/1000, 0)</f>
        <v>0</v>
      </c>
      <c r="W61" s="93"/>
      <c r="X61" s="131">
        <f t="shared" si="32"/>
        <v>0</v>
      </c>
    </row>
    <row r="62" spans="1:24">
      <c r="B62" s="148" t="s">
        <v>62</v>
      </c>
      <c r="C62" s="149"/>
      <c r="D62" s="137">
        <f t="shared" si="0"/>
        <v>0</v>
      </c>
      <c r="E62" s="128"/>
      <c r="F62" s="92">
        <f>IF(F61&gt;0, ROUNDUP(H61*1000/H59,0), 0)</f>
        <v>0</v>
      </c>
      <c r="G62" s="93"/>
      <c r="H62" s="129">
        <f t="shared" si="24"/>
        <v>0</v>
      </c>
      <c r="I62" s="128"/>
      <c r="J62" s="92">
        <f>IF(J61&gt;0, ROUNDUP(L61*1000/L59,0), 0)</f>
        <v>0</v>
      </c>
      <c r="K62" s="93"/>
      <c r="L62" s="129">
        <f t="shared" si="29"/>
        <v>0</v>
      </c>
      <c r="M62" s="128"/>
      <c r="N62" s="92">
        <f>IF(N61&gt;0, ROUNDUP(P61*1000/P59,0), 0)</f>
        <v>0</v>
      </c>
      <c r="O62" s="93"/>
      <c r="P62" s="129">
        <f t="shared" si="30"/>
        <v>0</v>
      </c>
      <c r="Q62" s="128"/>
      <c r="R62" s="92">
        <f>IF(R61&gt;0, ROUNDUP(T61*1000/T59,0), 0)</f>
        <v>0</v>
      </c>
      <c r="S62" s="93"/>
      <c r="T62" s="129">
        <f t="shared" si="31"/>
        <v>0</v>
      </c>
      <c r="U62" s="128"/>
      <c r="V62" s="92">
        <f>IF(V61&gt;0, ROUNDUP(X61*1000/X59,0), 0)</f>
        <v>0</v>
      </c>
      <c r="W62" s="93"/>
      <c r="X62" s="129">
        <f t="shared" si="32"/>
        <v>0</v>
      </c>
    </row>
    <row r="63" spans="1:24">
      <c r="B63" s="148" t="s">
        <v>63</v>
      </c>
      <c r="C63" s="149"/>
      <c r="D63" s="137">
        <f t="shared" si="0"/>
        <v>0</v>
      </c>
      <c r="E63" s="128"/>
      <c r="F63" s="91">
        <f>IF(F61&gt;0, H62*(H59+6)/1000, 0)</f>
        <v>0</v>
      </c>
      <c r="G63" s="93"/>
      <c r="H63" s="131">
        <f t="shared" si="24"/>
        <v>0</v>
      </c>
      <c r="I63" s="128"/>
      <c r="J63" s="91">
        <f>IF(J61&gt;0, L62*(L59+6)/1000, 0)</f>
        <v>0</v>
      </c>
      <c r="K63" s="93"/>
      <c r="L63" s="131">
        <f t="shared" si="29"/>
        <v>0</v>
      </c>
      <c r="M63" s="128"/>
      <c r="N63" s="91">
        <f>IF(N61&gt;0, P62*(P59+6)/1000, 0)</f>
        <v>0</v>
      </c>
      <c r="O63" s="93"/>
      <c r="P63" s="131">
        <f t="shared" si="30"/>
        <v>0</v>
      </c>
      <c r="Q63" s="128"/>
      <c r="R63" s="91">
        <f>IF(R61&gt;0, T62*(T59+6)/1000, 0)</f>
        <v>0</v>
      </c>
      <c r="S63" s="93"/>
      <c r="T63" s="131">
        <f t="shared" si="31"/>
        <v>0</v>
      </c>
      <c r="U63" s="128"/>
      <c r="V63" s="91">
        <f>IF(V61&gt;0, X62*(X59+6)/1000, 0)</f>
        <v>0</v>
      </c>
      <c r="W63" s="93"/>
      <c r="X63" s="131">
        <f t="shared" si="32"/>
        <v>0</v>
      </c>
    </row>
    <row r="64" spans="1:24">
      <c r="B64" s="148" t="s">
        <v>550</v>
      </c>
      <c r="C64" s="149"/>
      <c r="D64" s="137">
        <f t="shared" si="0"/>
        <v>0</v>
      </c>
      <c r="E64" s="128"/>
      <c r="F64" s="91">
        <f>H60*H57/(PI()*150^2)</f>
        <v>0</v>
      </c>
      <c r="G64" s="93"/>
      <c r="H64" s="131">
        <f t="shared" si="24"/>
        <v>0</v>
      </c>
      <c r="I64" s="128"/>
      <c r="J64" s="91">
        <f>L60*L57/(PI()*150^2)</f>
        <v>0</v>
      </c>
      <c r="K64" s="93"/>
      <c r="L64" s="131">
        <f t="shared" si="29"/>
        <v>0</v>
      </c>
      <c r="M64" s="128"/>
      <c r="N64" s="91">
        <f>P60*P57/(PI()*150^2)</f>
        <v>0</v>
      </c>
      <c r="O64" s="93"/>
      <c r="P64" s="131">
        <f t="shared" si="30"/>
        <v>0</v>
      </c>
      <c r="Q64" s="128"/>
      <c r="R64" s="91">
        <f>T60*T57/(PI()*150^2)</f>
        <v>0</v>
      </c>
      <c r="S64" s="93"/>
      <c r="T64" s="131">
        <f t="shared" si="31"/>
        <v>0</v>
      </c>
      <c r="U64" s="128"/>
      <c r="V64" s="91">
        <f>X60*X57/(PI()*150^2)</f>
        <v>0</v>
      </c>
      <c r="W64" s="93"/>
      <c r="X64" s="131">
        <f t="shared" si="32"/>
        <v>0</v>
      </c>
    </row>
    <row r="65" spans="2:24" ht="15" thickBot="1">
      <c r="B65" s="132"/>
      <c r="C65" s="151"/>
      <c r="D65" s="138"/>
      <c r="E65" s="132"/>
      <c r="F65" s="133"/>
      <c r="G65" s="133"/>
      <c r="H65" s="134"/>
      <c r="I65" s="132"/>
      <c r="J65" s="133"/>
      <c r="K65" s="133"/>
      <c r="L65" s="134"/>
      <c r="M65" s="132"/>
      <c r="N65" s="133"/>
      <c r="O65" s="133"/>
      <c r="P65" s="134"/>
      <c r="Q65" s="132"/>
      <c r="R65" s="133"/>
      <c r="S65" s="133"/>
      <c r="T65" s="134"/>
      <c r="U65" s="132"/>
      <c r="V65" s="133"/>
      <c r="W65" s="133"/>
      <c r="X65" s="134"/>
    </row>
    <row r="67" spans="2:24">
      <c r="B67" s="154" t="s">
        <v>587</v>
      </c>
    </row>
  </sheetData>
  <mergeCells count="7">
    <mergeCell ref="Q6:T6"/>
    <mergeCell ref="U6:X6"/>
    <mergeCell ref="C6:C7"/>
    <mergeCell ref="B6:B7"/>
    <mergeCell ref="E6:H6"/>
    <mergeCell ref="I6:L6"/>
    <mergeCell ref="M6:P6"/>
  </mergeCells>
  <phoneticPr fontId="28" type="noConversion"/>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AD561-B761-4452-B435-22F7E54BDD19}">
  <sheetPr>
    <pageSetUpPr fitToPage="1"/>
  </sheetPr>
  <dimension ref="A1:V48"/>
  <sheetViews>
    <sheetView showGridLines="0" topLeftCell="A14" zoomScaleNormal="100" workbookViewId="0">
      <selection activeCell="I27" sqref="I27"/>
    </sheetView>
  </sheetViews>
  <sheetFormatPr defaultColWidth="9.109375" defaultRowHeight="13.2"/>
  <cols>
    <col min="1" max="1" width="3.109375" style="15" customWidth="1"/>
    <col min="2" max="2" width="33.44140625" style="15" customWidth="1"/>
    <col min="3" max="3" width="5.44140625" style="15" customWidth="1"/>
    <col min="4" max="4" width="10" style="15" customWidth="1"/>
    <col min="5" max="5" width="14.33203125" style="15" customWidth="1"/>
    <col min="6" max="6" width="20.6640625" style="15" customWidth="1"/>
    <col min="7" max="7" width="15.33203125" style="15" bestFit="1" customWidth="1"/>
    <col min="8" max="8" width="12.6640625" style="15" bestFit="1" customWidth="1"/>
    <col min="9" max="9" width="20.6640625" style="15" bestFit="1" customWidth="1"/>
    <col min="10" max="10" width="16.6640625" style="15" customWidth="1"/>
    <col min="11" max="12" width="16.88671875" style="15" bestFit="1" customWidth="1"/>
    <col min="13" max="13" width="18" style="15" bestFit="1" customWidth="1"/>
    <col min="14" max="14" width="18.5546875" style="15" bestFit="1" customWidth="1"/>
    <col min="15" max="16384" width="9.109375" style="15"/>
  </cols>
  <sheetData>
    <row r="1" spans="1:22" ht="23.4">
      <c r="B1" s="88" t="str">
        <f>'1. Inputs'!B1</f>
        <v>XYZ LOCAL MUNICIPALITY</v>
      </c>
    </row>
    <row r="2" spans="1:22" ht="23.4">
      <c r="B2" s="16" t="s">
        <v>0</v>
      </c>
      <c r="E2" s="17"/>
    </row>
    <row r="3" spans="1:22" ht="23.4">
      <c r="B3" s="16" t="s">
        <v>574</v>
      </c>
    </row>
    <row r="5" spans="1:22">
      <c r="B5" s="18" t="s">
        <v>64</v>
      </c>
      <c r="C5" s="18" t="s">
        <v>65</v>
      </c>
      <c r="D5" s="18" t="s">
        <v>66</v>
      </c>
      <c r="E5" s="18" t="s">
        <v>67</v>
      </c>
      <c r="F5" s="18" t="s">
        <v>68</v>
      </c>
    </row>
    <row r="6" spans="1:22" s="21" customFormat="1" ht="57.6">
      <c r="A6" s="15"/>
      <c r="B6" s="71" t="s">
        <v>69</v>
      </c>
      <c r="C6" s="71" t="s">
        <v>70</v>
      </c>
      <c r="D6" s="71" t="s">
        <v>71</v>
      </c>
      <c r="E6" s="71" t="s">
        <v>72</v>
      </c>
      <c r="F6" s="71" t="s">
        <v>73</v>
      </c>
      <c r="J6" s="15"/>
      <c r="K6" s="15"/>
      <c r="L6" s="15"/>
      <c r="M6" s="15"/>
      <c r="N6" s="15"/>
      <c r="O6" s="15"/>
      <c r="P6" s="15"/>
      <c r="Q6" s="15"/>
      <c r="R6" s="15"/>
      <c r="S6" s="15"/>
      <c r="T6" s="15"/>
      <c r="U6" s="15"/>
      <c r="V6" s="15"/>
    </row>
    <row r="7" spans="1:22" ht="14.4">
      <c r="A7" s="67"/>
      <c r="B7" s="22" t="s">
        <v>579</v>
      </c>
      <c r="C7" s="23" t="s">
        <v>76</v>
      </c>
      <c r="D7" s="156">
        <f>'2. Asset Qty Calc'!D11*2</f>
        <v>0</v>
      </c>
      <c r="E7" s="157">
        <f>'Detail costing substation works'!N134</f>
        <v>4820000</v>
      </c>
      <c r="F7" s="157">
        <f t="shared" ref="F7:F22" si="0">D7*E7</f>
        <v>0</v>
      </c>
    </row>
    <row r="8" spans="1:22" ht="26.4">
      <c r="A8" s="67"/>
      <c r="B8" s="22" t="s">
        <v>580</v>
      </c>
      <c r="C8" s="23" t="s">
        <v>74</v>
      </c>
      <c r="D8" s="156">
        <f>'2. Asset Qty Calc'!D11</f>
        <v>0</v>
      </c>
      <c r="E8" s="157">
        <f>'Detail costing substation works'!O134</f>
        <v>18720000</v>
      </c>
      <c r="F8" s="157">
        <f t="shared" si="0"/>
        <v>0</v>
      </c>
    </row>
    <row r="9" spans="1:22" ht="14.4">
      <c r="A9" s="67"/>
      <c r="B9" s="22" t="s">
        <v>581</v>
      </c>
      <c r="C9" s="23" t="s">
        <v>76</v>
      </c>
      <c r="D9" s="156">
        <f>'1. Inputs'!C20+'1. Inputs'!D20+'1. Inputs'!E20+'1. Inputs'!F20+'1. Inputs'!G20+'1. Inputs'!C21+'1. Inputs'!D21+'1. Inputs'!E21+'1. Inputs'!F21+'1. Inputs'!G21+'2. Asset Qty Calc'!H14</f>
        <v>0</v>
      </c>
      <c r="E9" s="157">
        <f>'Detail costing substation works'!P134</f>
        <v>6030000</v>
      </c>
      <c r="F9" s="157">
        <f t="shared" si="0"/>
        <v>0</v>
      </c>
    </row>
    <row r="10" spans="1:22" ht="14.4">
      <c r="A10" s="67"/>
      <c r="B10" s="22" t="s">
        <v>569</v>
      </c>
      <c r="C10" s="23" t="s">
        <v>83</v>
      </c>
      <c r="D10" s="165">
        <f>'1. Inputs'!C22+'1. Inputs'!D22+'1. Inputs'!E22+'1. Inputs'!F22+'1. Inputs'!G22</f>
        <v>0</v>
      </c>
      <c r="E10" s="157">
        <f>$E$47*('4.Escalation'!G$28/100)</f>
        <v>11543344.342672415</v>
      </c>
      <c r="F10" s="157">
        <f t="shared" si="0"/>
        <v>0</v>
      </c>
    </row>
    <row r="11" spans="1:22" ht="14.4">
      <c r="A11" s="67"/>
      <c r="B11" s="22" t="s">
        <v>570</v>
      </c>
      <c r="C11" s="23" t="s">
        <v>83</v>
      </c>
      <c r="D11" s="165">
        <f>'1. Inputs'!C23+'1. Inputs'!D23+'1. Inputs'!E23+'1. Inputs'!F23+'1. Inputs'!G23</f>
        <v>0</v>
      </c>
      <c r="E11" s="157">
        <f>'Detail costing substation works'!M134</f>
        <v>3900000</v>
      </c>
      <c r="F11" s="157">
        <f t="shared" si="0"/>
        <v>0</v>
      </c>
    </row>
    <row r="12" spans="1:22" ht="15" customHeight="1">
      <c r="A12" s="68"/>
      <c r="B12" s="22" t="s">
        <v>582</v>
      </c>
      <c r="C12" s="23" t="s">
        <v>76</v>
      </c>
      <c r="D12" s="156">
        <f>'2. Asset Qty Calc'!D15</f>
        <v>0</v>
      </c>
      <c r="E12" s="157">
        <f>'Detail costing substation works'!Q134</f>
        <v>18720000</v>
      </c>
      <c r="F12" s="157">
        <f t="shared" si="0"/>
        <v>0</v>
      </c>
    </row>
    <row r="13" spans="1:22" ht="14.4">
      <c r="A13" s="68"/>
      <c r="B13" s="22" t="s">
        <v>583</v>
      </c>
      <c r="C13" s="23" t="s">
        <v>76</v>
      </c>
      <c r="D13" s="156">
        <f>'2. Asset Qty Calc'!D14</f>
        <v>0</v>
      </c>
      <c r="E13" s="157">
        <f>'Detail costing substation works'!Q134</f>
        <v>18720000</v>
      </c>
      <c r="F13" s="157">
        <f t="shared" si="0"/>
        <v>0</v>
      </c>
    </row>
    <row r="14" spans="1:22" ht="27.9" customHeight="1">
      <c r="A14" s="68"/>
      <c r="B14" s="22" t="s">
        <v>78</v>
      </c>
      <c r="C14" s="23" t="s">
        <v>76</v>
      </c>
      <c r="D14" s="156">
        <f>'2. Asset Qty Calc'!D17*2</f>
        <v>0</v>
      </c>
      <c r="E14" s="81">
        <f>'Detail costing substation works'!R134</f>
        <v>2370000</v>
      </c>
      <c r="F14" s="157">
        <f t="shared" si="0"/>
        <v>0</v>
      </c>
    </row>
    <row r="15" spans="1:22" ht="26.4">
      <c r="A15" s="68"/>
      <c r="B15" s="22" t="s">
        <v>79</v>
      </c>
      <c r="C15" s="23" t="s">
        <v>74</v>
      </c>
      <c r="D15" s="156">
        <f>'2. Asset Qty Calc'!D17</f>
        <v>0</v>
      </c>
      <c r="E15" s="81">
        <f>'Detail costing substation works'!S134</f>
        <v>12530000</v>
      </c>
      <c r="F15" s="157">
        <f t="shared" si="0"/>
        <v>0</v>
      </c>
    </row>
    <row r="16" spans="1:22" ht="14.4">
      <c r="A16" s="68"/>
      <c r="B16" s="22" t="s">
        <v>80</v>
      </c>
      <c r="C16" s="23" t="s">
        <v>76</v>
      </c>
      <c r="D16" s="156">
        <f>'2. Asset Qty Calc'!D25+D14</f>
        <v>0</v>
      </c>
      <c r="E16" s="81">
        <f>'Detail costing substation works'!T134</f>
        <v>2210000</v>
      </c>
      <c r="F16" s="157">
        <f t="shared" si="0"/>
        <v>0</v>
      </c>
    </row>
    <row r="17" spans="1:6" ht="14.4">
      <c r="A17" s="68"/>
      <c r="B17" s="22" t="s">
        <v>567</v>
      </c>
      <c r="C17" s="23" t="s">
        <v>83</v>
      </c>
      <c r="D17" s="165">
        <f>'2. Asset Qty Calc'!D23</f>
        <v>0</v>
      </c>
      <c r="E17" s="81">
        <f>'Detail costing substation works'!U134*1000</f>
        <v>6300000</v>
      </c>
      <c r="F17" s="157">
        <f>D17*E17</f>
        <v>0</v>
      </c>
    </row>
    <row r="18" spans="1:6" ht="14.4">
      <c r="A18" s="68"/>
      <c r="B18" s="22" t="s">
        <v>82</v>
      </c>
      <c r="C18" s="23" t="s">
        <v>83</v>
      </c>
      <c r="D18" s="165">
        <f>'2. Asset Qty Calc'!D24</f>
        <v>0</v>
      </c>
      <c r="E18" s="81">
        <f>'Detail costing OHL'!H201*$E$48</f>
        <v>757277.4772401005</v>
      </c>
      <c r="F18" s="157">
        <f t="shared" si="0"/>
        <v>0</v>
      </c>
    </row>
    <row r="19" spans="1:6" ht="14.4">
      <c r="A19" s="68"/>
      <c r="B19" s="22" t="s">
        <v>84</v>
      </c>
      <c r="C19" s="23" t="s">
        <v>76</v>
      </c>
      <c r="D19" s="156">
        <f>'2. Asset Qty Calc'!D20</f>
        <v>0</v>
      </c>
      <c r="E19" s="81">
        <f>'Detail costing substation works'!Y134</f>
        <v>12750000</v>
      </c>
      <c r="F19" s="157">
        <f t="shared" si="0"/>
        <v>0</v>
      </c>
    </row>
    <row r="20" spans="1:6" ht="14.4">
      <c r="A20" s="68"/>
      <c r="B20" s="22" t="s">
        <v>85</v>
      </c>
      <c r="C20" s="23" t="s">
        <v>76</v>
      </c>
      <c r="D20" s="156">
        <f>'2. Asset Qty Calc'!D11*2</f>
        <v>0</v>
      </c>
      <c r="E20" s="81">
        <f>'Detail costing substation works'!AA134</f>
        <v>1200000</v>
      </c>
      <c r="F20" s="157">
        <f t="shared" si="0"/>
        <v>0</v>
      </c>
    </row>
    <row r="21" spans="1:6" ht="26.4">
      <c r="A21" s="68"/>
      <c r="B21" s="22" t="s">
        <v>86</v>
      </c>
      <c r="C21" s="23" t="s">
        <v>74</v>
      </c>
      <c r="D21" s="156">
        <f>'2. Asset Qty Calc'!D11</f>
        <v>0</v>
      </c>
      <c r="E21" s="81">
        <f>'Detail costing substation works'!AB134</f>
        <v>8930000</v>
      </c>
      <c r="F21" s="81">
        <f t="shared" si="0"/>
        <v>0</v>
      </c>
    </row>
    <row r="22" spans="1:6" ht="14.4">
      <c r="A22" s="68"/>
      <c r="B22" s="22" t="s">
        <v>87</v>
      </c>
      <c r="C22" s="23" t="s">
        <v>76</v>
      </c>
      <c r="D22" s="156">
        <f>D21*2</f>
        <v>0</v>
      </c>
      <c r="E22" s="81">
        <f>'Detail costing substation works'!AC134</f>
        <v>1070000</v>
      </c>
      <c r="F22" s="81">
        <f t="shared" si="0"/>
        <v>0</v>
      </c>
    </row>
    <row r="23" spans="1:6" ht="14.4">
      <c r="A23" s="68"/>
      <c r="B23" s="22" t="s">
        <v>545</v>
      </c>
      <c r="C23" s="23" t="s">
        <v>83</v>
      </c>
      <c r="D23" s="165">
        <f>'2. Asset Qty Calc'!D32</f>
        <v>0</v>
      </c>
      <c r="E23" s="81">
        <f>'Detail costing retic'!L65*1000</f>
        <v>1500000</v>
      </c>
      <c r="F23" s="81">
        <f t="shared" ref="F23:F34" si="1">E23*D23</f>
        <v>0</v>
      </c>
    </row>
    <row r="24" spans="1:6" ht="14.4">
      <c r="A24" s="68"/>
      <c r="B24" s="22" t="s">
        <v>88</v>
      </c>
      <c r="C24" s="23" t="s">
        <v>76</v>
      </c>
      <c r="D24" s="156">
        <f>'2. Asset Qty Calc'!D30</f>
        <v>0</v>
      </c>
      <c r="E24" s="81">
        <f>'Detail costing retic'!M65</f>
        <v>804000</v>
      </c>
      <c r="F24" s="81">
        <f t="shared" si="1"/>
        <v>0</v>
      </c>
    </row>
    <row r="25" spans="1:6" ht="26.4">
      <c r="A25" s="68"/>
      <c r="B25" s="22" t="s">
        <v>89</v>
      </c>
      <c r="C25" s="23" t="s">
        <v>74</v>
      </c>
      <c r="D25" s="156">
        <f>'2. Asset Qty Calc'!D28</f>
        <v>0</v>
      </c>
      <c r="E25" s="81">
        <f>'Detail costing retic'!N65</f>
        <v>4623000</v>
      </c>
      <c r="F25" s="81">
        <f t="shared" si="1"/>
        <v>0</v>
      </c>
    </row>
    <row r="26" spans="1:6" ht="14.4">
      <c r="A26" s="68"/>
      <c r="B26" s="22" t="s">
        <v>90</v>
      </c>
      <c r="C26" s="23" t="s">
        <v>76</v>
      </c>
      <c r="D26" s="156">
        <f>MAX('2. Asset Qty Calc'!D35:D36)</f>
        <v>0</v>
      </c>
      <c r="E26" s="81">
        <f>'Detail costing retic'!O65</f>
        <v>704000</v>
      </c>
      <c r="F26" s="81">
        <f t="shared" si="1"/>
        <v>0</v>
      </c>
    </row>
    <row r="27" spans="1:6" ht="14.4">
      <c r="A27" s="68"/>
      <c r="B27" s="22" t="s">
        <v>602</v>
      </c>
      <c r="C27" s="23" t="s">
        <v>83</v>
      </c>
      <c r="D27" s="165">
        <f>'2. Asset Qty Calc'!D44</f>
        <v>0</v>
      </c>
      <c r="E27" s="81">
        <f>'Detail costing retic'!P65*1000</f>
        <v>980000</v>
      </c>
      <c r="F27" s="81">
        <f t="shared" si="1"/>
        <v>0</v>
      </c>
    </row>
    <row r="28" spans="1:6" ht="14.4">
      <c r="A28" s="68"/>
      <c r="B28" s="22" t="s">
        <v>91</v>
      </c>
      <c r="C28" s="23" t="s">
        <v>76</v>
      </c>
      <c r="D28" s="156">
        <f>'1. Inputs'!C37+'1. Inputs'!D37+'1. Inputs'!E37+'1. Inputs'!F37+'1. Inputs'!G37</f>
        <v>0</v>
      </c>
      <c r="E28" s="81">
        <f>'Detail costing retic'!Q65</f>
        <v>555000</v>
      </c>
      <c r="F28" s="81">
        <f t="shared" si="1"/>
        <v>0</v>
      </c>
    </row>
    <row r="29" spans="1:6" ht="14.4">
      <c r="A29" s="69"/>
      <c r="B29" s="22" t="s">
        <v>584</v>
      </c>
      <c r="C29" s="23" t="s">
        <v>76</v>
      </c>
      <c r="D29" s="156">
        <f>'2. Asset Qty Calc'!D39</f>
        <v>0</v>
      </c>
      <c r="E29" s="81">
        <f>'Detail costing retic'!R65</f>
        <v>761000</v>
      </c>
      <c r="F29" s="81">
        <f t="shared" si="1"/>
        <v>0</v>
      </c>
    </row>
    <row r="30" spans="1:6" ht="14.4">
      <c r="A30" s="69"/>
      <c r="B30" s="153" t="s">
        <v>585</v>
      </c>
      <c r="C30" s="23" t="s">
        <v>83</v>
      </c>
      <c r="D30" s="165">
        <f>'2. Asset Qty Calc'!D52</f>
        <v>0</v>
      </c>
      <c r="E30" s="81">
        <f>'Detail costing retic'!S65*1000</f>
        <v>850000</v>
      </c>
      <c r="F30" s="81">
        <f t="shared" si="1"/>
        <v>0</v>
      </c>
    </row>
    <row r="31" spans="1:6" ht="14.4">
      <c r="A31" s="69"/>
      <c r="B31" s="22" t="s">
        <v>92</v>
      </c>
      <c r="C31" s="23" t="s">
        <v>76</v>
      </c>
      <c r="D31" s="156">
        <f>'2. Asset Qty Calc'!D56</f>
        <v>0</v>
      </c>
      <c r="E31" s="81">
        <f>'Detail costing retic'!T65</f>
        <v>18300</v>
      </c>
      <c r="F31" s="81">
        <f t="shared" si="1"/>
        <v>0</v>
      </c>
    </row>
    <row r="32" spans="1:6" ht="14.4">
      <c r="A32" s="68"/>
      <c r="B32" s="22" t="s">
        <v>586</v>
      </c>
      <c r="C32" s="23" t="s">
        <v>83</v>
      </c>
      <c r="D32" s="165">
        <f>'2. Asset Qty Calc'!D45</f>
        <v>0</v>
      </c>
      <c r="E32" s="81">
        <f>'Detail costing OHL'!H201</f>
        <v>582521.13633853884</v>
      </c>
      <c r="F32" s="81">
        <f t="shared" si="1"/>
        <v>0</v>
      </c>
    </row>
    <row r="33" spans="1:10" ht="14.4">
      <c r="A33" s="69"/>
      <c r="B33" s="22" t="s">
        <v>326</v>
      </c>
      <c r="C33" s="23" t="s">
        <v>76</v>
      </c>
      <c r="D33" s="156">
        <f>'2. Asset Qty Calc'!D40</f>
        <v>0</v>
      </c>
      <c r="E33" s="81">
        <f>'Detail costing OHL'!J201</f>
        <v>170013.18983137977</v>
      </c>
      <c r="F33" s="81">
        <f t="shared" si="1"/>
        <v>0</v>
      </c>
    </row>
    <row r="34" spans="1:10" ht="14.4">
      <c r="A34" s="69"/>
      <c r="B34" s="22" t="s">
        <v>601</v>
      </c>
      <c r="C34" s="23" t="s">
        <v>83</v>
      </c>
      <c r="D34" s="165">
        <f>'2. Asset Qty Calc'!D53</f>
        <v>0</v>
      </c>
      <c r="E34" s="81">
        <f>'Detail costing OHL'!I201</f>
        <v>1001422.9395814075</v>
      </c>
      <c r="F34" s="81">
        <f t="shared" si="1"/>
        <v>0</v>
      </c>
    </row>
    <row r="35" spans="1:10" ht="27" thickBot="1">
      <c r="B35" s="158" t="s">
        <v>568</v>
      </c>
      <c r="C35" s="159"/>
      <c r="D35" s="158"/>
      <c r="E35" s="160"/>
      <c r="F35" s="161">
        <f>SUM(F7:F34)</f>
        <v>0</v>
      </c>
      <c r="J35" s="164"/>
    </row>
    <row r="36" spans="1:10" ht="14.4" thickTop="1" thickBot="1">
      <c r="H36" s="70"/>
    </row>
    <row r="37" spans="1:10">
      <c r="B37" s="25" t="s">
        <v>571</v>
      </c>
      <c r="C37" s="25"/>
      <c r="D37" s="25"/>
      <c r="E37" s="26" t="s">
        <v>93</v>
      </c>
      <c r="F37" s="27"/>
      <c r="G37" s="24"/>
    </row>
    <row r="38" spans="1:10">
      <c r="B38" s="25" t="s">
        <v>94</v>
      </c>
      <c r="C38" s="25"/>
      <c r="D38" s="25"/>
      <c r="E38" s="73" t="s">
        <v>20</v>
      </c>
      <c r="F38" s="72" t="s">
        <v>95</v>
      </c>
      <c r="G38" s="74" t="s">
        <v>96</v>
      </c>
    </row>
    <row r="39" spans="1:10">
      <c r="B39" s="25" t="s">
        <v>572</v>
      </c>
      <c r="C39" s="25"/>
      <c r="D39" s="25"/>
      <c r="E39" s="75" t="s">
        <v>97</v>
      </c>
      <c r="F39" s="79">
        <f>SUM(F7:F11)</f>
        <v>0</v>
      </c>
      <c r="G39" s="76" t="e">
        <f>F39/$F$42</f>
        <v>#DIV/0!</v>
      </c>
    </row>
    <row r="40" spans="1:10">
      <c r="B40" s="25" t="s">
        <v>573</v>
      </c>
      <c r="C40" s="25"/>
      <c r="D40" s="25"/>
      <c r="E40" s="75" t="s">
        <v>26</v>
      </c>
      <c r="F40" s="79">
        <f>SUM(F12:F28,F32)</f>
        <v>0</v>
      </c>
      <c r="G40" s="76" t="e">
        <f t="shared" ref="G40:G41" si="2">F40/$F$42</f>
        <v>#DIV/0!</v>
      </c>
    </row>
    <row r="41" spans="1:10">
      <c r="B41" s="25"/>
      <c r="C41" s="25"/>
      <c r="D41" s="25"/>
      <c r="E41" s="75" t="s">
        <v>25</v>
      </c>
      <c r="F41" s="79">
        <f>SUM(F29:F31,F33:F34)</f>
        <v>0</v>
      </c>
      <c r="G41" s="76" t="e">
        <f t="shared" si="2"/>
        <v>#DIV/0!</v>
      </c>
    </row>
    <row r="42" spans="1:10" ht="13.8" thickBot="1">
      <c r="B42" s="25"/>
      <c r="C42" s="25"/>
      <c r="D42" s="25"/>
      <c r="E42" s="77" t="s">
        <v>98</v>
      </c>
      <c r="F42" s="80">
        <f>SUM(F39:F41)</f>
        <v>0</v>
      </c>
      <c r="G42" s="78" t="e">
        <f>SUM(G39:G41)</f>
        <v>#DIV/0!</v>
      </c>
    </row>
    <row r="44" spans="1:10">
      <c r="E44" s="142"/>
    </row>
    <row r="45" spans="1:10">
      <c r="E45" s="142"/>
    </row>
    <row r="46" spans="1:10">
      <c r="B46" s="318" t="s">
        <v>648</v>
      </c>
    </row>
    <row r="47" spans="1:10">
      <c r="B47" s="319" t="s">
        <v>649</v>
      </c>
      <c r="E47" s="320">
        <v>5000000</v>
      </c>
      <c r="F47" s="321" t="s">
        <v>650</v>
      </c>
    </row>
    <row r="48" spans="1:10">
      <c r="B48" s="319" t="s">
        <v>651</v>
      </c>
      <c r="E48" s="322">
        <v>1.3</v>
      </c>
      <c r="F48" s="321" t="s">
        <v>652</v>
      </c>
    </row>
  </sheetData>
  <pageMargins left="0.70866141732283472" right="0.70866141732283472" top="0.74803149606299213" bottom="0.74803149606299213" header="0.31496062992125984" footer="0.31496062992125984"/>
  <pageSetup paperSize="8" fitToHeight="10" orientation="landscape" r:id="rId1"/>
  <headerFooter>
    <oddFooter>&amp;R&amp;A
Page &amp;P of &amp;N</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3B318-6219-4B74-9189-02FAE227325F}">
  <dimension ref="A1:H70"/>
  <sheetViews>
    <sheetView topLeftCell="A33" zoomScaleNormal="100" workbookViewId="0">
      <selection activeCell="H59" sqref="H59"/>
    </sheetView>
  </sheetViews>
  <sheetFormatPr defaultColWidth="8.88671875" defaultRowHeight="14.4"/>
  <cols>
    <col min="1" max="1" width="3" style="9" customWidth="1"/>
    <col min="2" max="2" width="40" style="85" customWidth="1"/>
    <col min="3" max="3" width="13.33203125" style="85" bestFit="1" customWidth="1"/>
    <col min="4" max="4" width="14.88671875" style="85" bestFit="1" customWidth="1"/>
    <col min="5" max="5" width="14.88671875" style="85" customWidth="1"/>
    <col min="6" max="7" width="11.5546875" style="85" bestFit="1" customWidth="1"/>
    <col min="8" max="8" width="52.6640625" style="9" customWidth="1"/>
    <col min="9" max="16384" width="8.88671875" style="9"/>
  </cols>
  <sheetData>
    <row r="1" spans="2:8">
      <c r="B1" s="104" t="s">
        <v>488</v>
      </c>
    </row>
    <row r="2" spans="2:8">
      <c r="B2" s="104" t="s">
        <v>484</v>
      </c>
    </row>
    <row r="3" spans="2:8" ht="28.8">
      <c r="C3" s="105" t="s">
        <v>490</v>
      </c>
      <c r="D3" s="105" t="s">
        <v>491</v>
      </c>
      <c r="E3" s="106"/>
      <c r="F3" s="265" t="s">
        <v>600</v>
      </c>
      <c r="G3" s="266"/>
      <c r="H3" s="9" t="s">
        <v>599</v>
      </c>
    </row>
    <row r="4" spans="2:8" ht="28.8">
      <c r="C4" s="89" t="s">
        <v>478</v>
      </c>
      <c r="D4" s="89" t="s">
        <v>479</v>
      </c>
      <c r="E4" s="107"/>
      <c r="F4" s="105" t="s">
        <v>490</v>
      </c>
      <c r="G4" s="105" t="s">
        <v>491</v>
      </c>
    </row>
    <row r="5" spans="2:8">
      <c r="B5" s="166">
        <v>42887</v>
      </c>
      <c r="C5" s="310">
        <v>98.7</v>
      </c>
      <c r="D5" s="310">
        <v>99.7</v>
      </c>
      <c r="E5" s="107"/>
      <c r="F5" s="89" t="s">
        <v>478</v>
      </c>
      <c r="G5" s="89" t="s">
        <v>479</v>
      </c>
    </row>
    <row r="6" spans="2:8">
      <c r="B6" s="166">
        <v>43252</v>
      </c>
      <c r="C6" s="310">
        <v>109.6</v>
      </c>
      <c r="D6" s="310">
        <v>111.9</v>
      </c>
      <c r="E6" s="107"/>
      <c r="F6" s="167">
        <f>C6/C5-1</f>
        <v>0.11043566362715285</v>
      </c>
      <c r="G6" s="167">
        <f>D6/D5-1</f>
        <v>0.12236710130391182</v>
      </c>
    </row>
    <row r="7" spans="2:8">
      <c r="B7" s="166">
        <v>43617</v>
      </c>
      <c r="C7" s="310">
        <v>111.5</v>
      </c>
      <c r="D7" s="310">
        <v>111.2</v>
      </c>
      <c r="E7" s="107"/>
      <c r="F7" s="167">
        <f t="shared" ref="F7:F9" si="0">C7/C6-1</f>
        <v>1.7335766423357768E-2</v>
      </c>
      <c r="G7" s="167">
        <f t="shared" ref="G7:G9" si="1">D7/D6-1</f>
        <v>-6.2555853440572351E-3</v>
      </c>
    </row>
    <row r="8" spans="2:8">
      <c r="B8" s="166">
        <v>43983</v>
      </c>
      <c r="C8" s="310">
        <v>117.3</v>
      </c>
      <c r="D8" s="310">
        <v>118.4</v>
      </c>
      <c r="E8" s="107"/>
      <c r="F8" s="167">
        <f t="shared" si="0"/>
        <v>5.2017937219730914E-2</v>
      </c>
      <c r="G8" s="167">
        <f t="shared" si="1"/>
        <v>6.4748201438848962E-2</v>
      </c>
    </row>
    <row r="9" spans="2:8">
      <c r="B9" s="166">
        <v>44348</v>
      </c>
      <c r="C9" s="310">
        <v>161.19999999999999</v>
      </c>
      <c r="D9" s="310">
        <v>164.5</v>
      </c>
      <c r="E9" s="107"/>
      <c r="F9" s="167">
        <f t="shared" si="0"/>
        <v>0.37425404944586527</v>
      </c>
      <c r="G9" s="167">
        <f t="shared" si="1"/>
        <v>0.38935810810810811</v>
      </c>
    </row>
    <row r="10" spans="2:8">
      <c r="B10" s="108">
        <v>44409</v>
      </c>
      <c r="C10" s="311">
        <v>159.80000000000001</v>
      </c>
      <c r="D10" s="311">
        <v>163.4</v>
      </c>
      <c r="E10" s="107"/>
      <c r="H10" s="9" t="s">
        <v>486</v>
      </c>
    </row>
    <row r="11" spans="2:8">
      <c r="C11" s="109" t="s">
        <v>483</v>
      </c>
      <c r="D11" s="109" t="s">
        <v>482</v>
      </c>
    </row>
    <row r="13" spans="2:8">
      <c r="B13" s="104" t="s">
        <v>489</v>
      </c>
    </row>
    <row r="14" spans="2:8" ht="28.95" customHeight="1">
      <c r="C14" s="105" t="s">
        <v>490</v>
      </c>
      <c r="D14" s="105" t="s">
        <v>491</v>
      </c>
      <c r="E14" s="262" t="s">
        <v>495</v>
      </c>
      <c r="F14" s="263"/>
      <c r="G14" s="264"/>
    </row>
    <row r="15" spans="2:8" ht="15" thickBot="1">
      <c r="C15" s="110" t="s">
        <v>478</v>
      </c>
      <c r="D15" s="110" t="s">
        <v>479</v>
      </c>
      <c r="E15" s="110" t="s">
        <v>496</v>
      </c>
      <c r="F15" s="110" t="s">
        <v>480</v>
      </c>
      <c r="G15" s="110" t="s">
        <v>481</v>
      </c>
    </row>
    <row r="16" spans="2:8" ht="15" thickTop="1">
      <c r="B16" s="252">
        <v>44197</v>
      </c>
      <c r="C16" s="292">
        <v>134.80000000000001</v>
      </c>
      <c r="D16" s="293">
        <v>136.69999999999999</v>
      </c>
      <c r="E16" s="249">
        <f>B16</f>
        <v>44197</v>
      </c>
      <c r="F16" s="303">
        <f>C16</f>
        <v>134.80000000000001</v>
      </c>
      <c r="G16" s="304">
        <f>D16</f>
        <v>136.69999999999999</v>
      </c>
      <c r="H16" s="9" t="s">
        <v>487</v>
      </c>
    </row>
    <row r="17" spans="2:8">
      <c r="B17" s="251">
        <v>44228</v>
      </c>
      <c r="C17" s="294">
        <v>139.6</v>
      </c>
      <c r="D17" s="295">
        <v>142.19999999999999</v>
      </c>
      <c r="E17" s="248">
        <f>IF(C17&lt;&gt;"", B17, E16)</f>
        <v>44228</v>
      </c>
      <c r="F17" s="305">
        <f>IF(C17&lt;&gt;"", C17, F16)</f>
        <v>139.6</v>
      </c>
      <c r="G17" s="306">
        <f>IF(D17&lt;&gt;"", D17, G16)</f>
        <v>142.19999999999999</v>
      </c>
    </row>
    <row r="18" spans="2:8">
      <c r="B18" s="251">
        <v>44256</v>
      </c>
      <c r="C18" s="294">
        <v>142.30000000000001</v>
      </c>
      <c r="D18" s="295">
        <v>145.4</v>
      </c>
      <c r="E18" s="248">
        <f t="shared" ref="E18:E27" si="2">IF(C18&lt;&gt;"", B18, E17)</f>
        <v>44256</v>
      </c>
      <c r="F18" s="305">
        <f t="shared" ref="F18:F27" si="3">IF(C18&lt;&gt;"", C18, F17)</f>
        <v>142.30000000000001</v>
      </c>
      <c r="G18" s="306">
        <f t="shared" ref="G18:G25" si="4">IF(D18&lt;&gt;"", D18, G17)</f>
        <v>145.4</v>
      </c>
    </row>
    <row r="19" spans="2:8">
      <c r="B19" s="251">
        <v>44287</v>
      </c>
      <c r="C19" s="294">
        <v>148.4</v>
      </c>
      <c r="D19" s="295">
        <v>153</v>
      </c>
      <c r="E19" s="248">
        <f t="shared" si="2"/>
        <v>44287</v>
      </c>
      <c r="F19" s="305">
        <f t="shared" si="3"/>
        <v>148.4</v>
      </c>
      <c r="G19" s="306">
        <f t="shared" si="4"/>
        <v>153</v>
      </c>
    </row>
    <row r="20" spans="2:8">
      <c r="B20" s="251">
        <v>44317</v>
      </c>
      <c r="C20" s="294">
        <v>153.69999999999999</v>
      </c>
      <c r="D20" s="295">
        <v>156.6</v>
      </c>
      <c r="E20" s="248">
        <f t="shared" si="2"/>
        <v>44317</v>
      </c>
      <c r="F20" s="305">
        <f t="shared" si="3"/>
        <v>153.69999999999999</v>
      </c>
      <c r="G20" s="306">
        <f t="shared" si="4"/>
        <v>156.6</v>
      </c>
    </row>
    <row r="21" spans="2:8">
      <c r="B21" s="251">
        <v>44348</v>
      </c>
      <c r="C21" s="294">
        <v>161.19999999999999</v>
      </c>
      <c r="D21" s="295">
        <v>164.5</v>
      </c>
      <c r="E21" s="248">
        <f t="shared" si="2"/>
        <v>44348</v>
      </c>
      <c r="F21" s="305">
        <f t="shared" si="3"/>
        <v>161.19999999999999</v>
      </c>
      <c r="G21" s="306">
        <f t="shared" si="4"/>
        <v>164.5</v>
      </c>
    </row>
    <row r="22" spans="2:8">
      <c r="B22" s="251">
        <v>44378</v>
      </c>
      <c r="C22" s="294">
        <v>157.69999999999999</v>
      </c>
      <c r="D22" s="295">
        <v>160.1</v>
      </c>
      <c r="E22" s="248">
        <f t="shared" si="2"/>
        <v>44378</v>
      </c>
      <c r="F22" s="305">
        <f t="shared" si="3"/>
        <v>157.69999999999999</v>
      </c>
      <c r="G22" s="306">
        <f t="shared" si="4"/>
        <v>160.1</v>
      </c>
    </row>
    <row r="23" spans="2:8" ht="15" thickBot="1">
      <c r="B23" s="253">
        <v>44409</v>
      </c>
      <c r="C23" s="296">
        <v>159.80000000000001</v>
      </c>
      <c r="D23" s="297">
        <v>163.4</v>
      </c>
      <c r="E23" s="248">
        <f t="shared" si="2"/>
        <v>44409</v>
      </c>
      <c r="F23" s="305">
        <f t="shared" si="3"/>
        <v>159.80000000000001</v>
      </c>
      <c r="G23" s="306">
        <f t="shared" si="4"/>
        <v>163.4</v>
      </c>
    </row>
    <row r="24" spans="2:8" ht="15.6" thickTop="1" thickBot="1">
      <c r="B24" s="250">
        <v>46174</v>
      </c>
      <c r="C24" s="298">
        <f>IF($E$50="","",$E$50)</f>
        <v>210.15674999999999</v>
      </c>
      <c r="D24" s="299">
        <f>IF($F$50="","",$F$50)</f>
        <v>230.86688685344831</v>
      </c>
      <c r="E24" s="248">
        <f t="shared" si="2"/>
        <v>46174</v>
      </c>
      <c r="F24" s="305">
        <f t="shared" si="3"/>
        <v>210.15674999999999</v>
      </c>
      <c r="G24" s="306">
        <f t="shared" si="4"/>
        <v>230.86688685344831</v>
      </c>
    </row>
    <row r="25" spans="2:8" ht="15" thickTop="1">
      <c r="B25" s="108"/>
      <c r="C25" s="294"/>
      <c r="D25" s="300"/>
      <c r="E25" s="113">
        <f t="shared" si="2"/>
        <v>46174</v>
      </c>
      <c r="F25" s="305">
        <f t="shared" si="3"/>
        <v>210.15674999999999</v>
      </c>
      <c r="G25" s="306">
        <f t="shared" si="4"/>
        <v>230.86688685344831</v>
      </c>
    </row>
    <row r="26" spans="2:8">
      <c r="B26" s="108"/>
      <c r="C26" s="294"/>
      <c r="D26" s="300"/>
      <c r="E26" s="113">
        <f t="shared" si="2"/>
        <v>46174</v>
      </c>
      <c r="F26" s="305">
        <f t="shared" si="3"/>
        <v>210.15674999999999</v>
      </c>
      <c r="G26" s="306">
        <f>IF(D26&lt;&gt;"", D26, G25)</f>
        <v>230.86688685344831</v>
      </c>
    </row>
    <row r="27" spans="2:8">
      <c r="B27" s="108"/>
      <c r="C27" s="301"/>
      <c r="D27" s="302"/>
      <c r="E27" s="115">
        <f t="shared" si="2"/>
        <v>46174</v>
      </c>
      <c r="F27" s="307">
        <f t="shared" si="3"/>
        <v>210.15674999999999</v>
      </c>
      <c r="G27" s="308">
        <f>IF(D27&lt;&gt;"", D27, G26)</f>
        <v>230.86688685344831</v>
      </c>
    </row>
    <row r="28" spans="2:8">
      <c r="B28" s="107" t="s">
        <v>494</v>
      </c>
      <c r="C28" s="111"/>
      <c r="D28" s="111"/>
      <c r="E28" s="114">
        <f>E27</f>
        <v>46174</v>
      </c>
      <c r="F28" s="309">
        <f>F27</f>
        <v>210.15674999999999</v>
      </c>
      <c r="G28" s="309">
        <f>G27</f>
        <v>230.86688685344831</v>
      </c>
      <c r="H28" s="9" t="s">
        <v>492</v>
      </c>
    </row>
    <row r="30" spans="2:8">
      <c r="H30" s="112" t="s">
        <v>493</v>
      </c>
    </row>
    <row r="32" spans="2:8" ht="15.6">
      <c r="B32" s="268" t="s">
        <v>627</v>
      </c>
      <c r="C32"/>
      <c r="D32"/>
      <c r="E32"/>
      <c r="F32"/>
      <c r="G32"/>
      <c r="H32"/>
    </row>
    <row r="33" spans="2:8">
      <c r="B33" s="276" t="s">
        <v>628</v>
      </c>
      <c r="C33"/>
      <c r="D33"/>
      <c r="E33"/>
      <c r="F33"/>
      <c r="G33"/>
      <c r="H33"/>
    </row>
    <row r="34" spans="2:8">
      <c r="B34"/>
      <c r="C34"/>
      <c r="D34"/>
      <c r="E34"/>
      <c r="F34"/>
      <c r="G34"/>
      <c r="H34"/>
    </row>
    <row r="35" spans="2:8">
      <c r="B35"/>
      <c r="C35"/>
      <c r="D35"/>
      <c r="E35" s="270" t="s">
        <v>478</v>
      </c>
      <c r="F35" s="270" t="s">
        <v>479</v>
      </c>
      <c r="G35"/>
      <c r="H35"/>
    </row>
    <row r="36" spans="2:8">
      <c r="B36"/>
      <c r="C36"/>
      <c r="D36"/>
      <c r="E36" s="272" t="s">
        <v>120</v>
      </c>
      <c r="F36" s="272" t="s">
        <v>119</v>
      </c>
      <c r="G36"/>
      <c r="H36"/>
    </row>
    <row r="37" spans="2:8">
      <c r="B37" s="269" t="s">
        <v>640</v>
      </c>
      <c r="C37"/>
      <c r="D37"/>
      <c r="E37"/>
      <c r="F37"/>
      <c r="G37"/>
      <c r="H37"/>
    </row>
    <row r="38" spans="2:8" ht="28.8">
      <c r="B38" s="282" t="s">
        <v>641</v>
      </c>
      <c r="C38"/>
      <c r="D38"/>
      <c r="E38" s="287">
        <v>44348</v>
      </c>
      <c r="F38" s="288"/>
      <c r="G38"/>
      <c r="H38"/>
    </row>
    <row r="39" spans="2:8">
      <c r="B39" t="s">
        <v>642</v>
      </c>
      <c r="C39"/>
      <c r="D39"/>
      <c r="E39" s="289">
        <f>IFERROR(VLOOKUP($E$38,$B$16:$D$27,2,0),"")</f>
        <v>161.19999999999999</v>
      </c>
      <c r="F39" s="289">
        <f>IFERROR(VLOOKUP($E$38,$B$16:$D$27,3,0),"")</f>
        <v>164.5</v>
      </c>
      <c r="G39"/>
      <c r="H39"/>
    </row>
    <row r="40" spans="2:8">
      <c r="B40" s="271" t="s">
        <v>643</v>
      </c>
      <c r="C40"/>
      <c r="D40"/>
      <c r="E40" s="290">
        <f>IFERROR(VLOOKUP($E$38,$B$64:$D$70,2,0),"")</f>
        <v>93.6</v>
      </c>
      <c r="F40" s="290">
        <f>IFERROR(VLOOKUP($E$38,$B$64:$D$70,3,0),"")</f>
        <v>92.8</v>
      </c>
      <c r="G40"/>
      <c r="H40"/>
    </row>
    <row r="41" spans="2:8">
      <c r="B41" s="271" t="s">
        <v>629</v>
      </c>
      <c r="C41"/>
      <c r="D41"/>
      <c r="E41" s="273">
        <f>IF(OR($E$39="",$E$40=""),"",$E$39/$E$40)</f>
        <v>1.7222222222222221</v>
      </c>
      <c r="F41" s="273">
        <f>IF(OR($F$39="",$F$40=""),"",$F$39/$F$40)</f>
        <v>1.7726293103448276</v>
      </c>
      <c r="G41"/>
      <c r="H41"/>
    </row>
    <row r="42" spans="2:8">
      <c r="B42" s="269" t="s">
        <v>630</v>
      </c>
      <c r="C42"/>
      <c r="D42"/>
      <c r="E42"/>
      <c r="F42"/>
      <c r="G42"/>
      <c r="H42"/>
    </row>
    <row r="43" spans="2:8" ht="28.8">
      <c r="B43" s="282" t="s">
        <v>659</v>
      </c>
      <c r="C43"/>
      <c r="D43"/>
      <c r="E43" s="291">
        <v>103.5</v>
      </c>
      <c r="F43" s="291">
        <v>105.8</v>
      </c>
      <c r="G43"/>
      <c r="H43"/>
    </row>
    <row r="44" spans="2:8">
      <c r="B44" t="s">
        <v>631</v>
      </c>
      <c r="C44"/>
      <c r="D44"/>
      <c r="E44" s="277">
        <v>100</v>
      </c>
      <c r="F44" s="277">
        <v>100</v>
      </c>
      <c r="G44"/>
      <c r="H44"/>
    </row>
    <row r="45" spans="2:8">
      <c r="B45" s="271" t="s">
        <v>632</v>
      </c>
      <c r="C45"/>
      <c r="D45"/>
      <c r="E45" s="273">
        <f>IF($E$43="","",$E$43/$E$44)</f>
        <v>1.0349999999999999</v>
      </c>
      <c r="F45" s="273">
        <f>IF($F$43="","",$F$43/$F$44)</f>
        <v>1.0580000000000001</v>
      </c>
      <c r="G45"/>
      <c r="H45"/>
    </row>
    <row r="46" spans="2:8">
      <c r="B46"/>
      <c r="C46"/>
      <c r="D46"/>
      <c r="E46"/>
      <c r="F46"/>
      <c r="G46"/>
      <c r="H46"/>
    </row>
    <row r="47" spans="2:8">
      <c r="B47" s="278" t="s">
        <v>633</v>
      </c>
      <c r="C47"/>
      <c r="D47"/>
      <c r="E47" s="279">
        <f>IF(OR($E$41="",$E$45=""),"",$E$41*$E$45)</f>
        <v>1.7824999999999998</v>
      </c>
      <c r="F47" s="279">
        <f>IF(OR($F$41="",$F$45=""),"",$F$41*$F$45)</f>
        <v>1.8754418103448278</v>
      </c>
      <c r="G47"/>
      <c r="H47"/>
    </row>
    <row r="48" spans="2:8">
      <c r="B48"/>
      <c r="C48"/>
      <c r="D48"/>
      <c r="E48"/>
      <c r="F48"/>
      <c r="G48"/>
      <c r="H48"/>
    </row>
    <row r="49" spans="1:8" ht="43.2">
      <c r="B49" s="282" t="s">
        <v>634</v>
      </c>
      <c r="C49"/>
      <c r="D49"/>
      <c r="E49" s="280">
        <v>117.9</v>
      </c>
      <c r="F49" s="280">
        <v>123.1</v>
      </c>
      <c r="G49"/>
      <c r="H49"/>
    </row>
    <row r="50" spans="1:8">
      <c r="B50" s="271" t="s">
        <v>635</v>
      </c>
      <c r="C50"/>
      <c r="D50"/>
      <c r="E50" s="274">
        <f>IF(OR($E$49="",$E$47=""),"",$E$49*$E$47)</f>
        <v>210.15674999999999</v>
      </c>
      <c r="F50" s="274">
        <f>IF(OR($F$49="",$F$47=""),"",$F$49*$F$47)</f>
        <v>230.86688685344831</v>
      </c>
      <c r="G50"/>
      <c r="H50"/>
    </row>
    <row r="51" spans="1:8">
      <c r="B51"/>
      <c r="C51"/>
      <c r="D51"/>
      <c r="E51"/>
      <c r="F51"/>
      <c r="G51"/>
      <c r="H51"/>
    </row>
    <row r="52" spans="1:8">
      <c r="A52" s="112"/>
      <c r="B52" s="324" t="s">
        <v>653</v>
      </c>
      <c r="C52" s="281"/>
      <c r="D52" s="281"/>
      <c r="E52" s="281"/>
      <c r="F52" s="281"/>
      <c r="G52"/>
      <c r="H52"/>
    </row>
    <row r="53" spans="1:8">
      <c r="B53" t="s">
        <v>654</v>
      </c>
      <c r="C53"/>
      <c r="D53"/>
      <c r="E53"/>
      <c r="F53"/>
      <c r="G53"/>
      <c r="H53"/>
    </row>
    <row r="54" spans="1:8">
      <c r="B54" t="s">
        <v>655</v>
      </c>
      <c r="C54"/>
      <c r="D54"/>
      <c r="E54"/>
      <c r="F54"/>
      <c r="G54"/>
      <c r="H54"/>
    </row>
    <row r="55" spans="1:8">
      <c r="B55" s="85" t="s">
        <v>656</v>
      </c>
    </row>
    <row r="56" spans="1:8">
      <c r="B56" s="85" t="s">
        <v>657</v>
      </c>
    </row>
    <row r="57" spans="1:8">
      <c r="B57" s="283" t="s">
        <v>658</v>
      </c>
    </row>
    <row r="58" spans="1:8">
      <c r="B58" s="275" t="s">
        <v>636</v>
      </c>
    </row>
    <row r="61" spans="1:8">
      <c r="B61" s="267" t="s">
        <v>637</v>
      </c>
      <c r="C61" s="267"/>
      <c r="D61" s="267"/>
      <c r="E61" s="267"/>
      <c r="F61" s="267"/>
    </row>
    <row r="62" spans="1:8">
      <c r="B62" s="283" t="s">
        <v>638</v>
      </c>
    </row>
    <row r="63" spans="1:8">
      <c r="B63" s="107" t="s">
        <v>639</v>
      </c>
      <c r="C63" s="107" t="s">
        <v>478</v>
      </c>
      <c r="D63" s="107" t="s">
        <v>479</v>
      </c>
    </row>
    <row r="64" spans="1:8">
      <c r="B64" s="166">
        <v>44228</v>
      </c>
      <c r="C64" s="284">
        <v>81</v>
      </c>
      <c r="D64" s="284">
        <v>80.2</v>
      </c>
    </row>
    <row r="65" spans="2:4">
      <c r="B65" s="166">
        <v>44256</v>
      </c>
      <c r="C65" s="284">
        <v>82.6</v>
      </c>
      <c r="D65" s="284">
        <v>82</v>
      </c>
    </row>
    <row r="66" spans="2:4">
      <c r="B66" s="166">
        <v>44287</v>
      </c>
      <c r="C66" s="284">
        <v>86.1</v>
      </c>
      <c r="D66" s="284">
        <v>86.3</v>
      </c>
    </row>
    <row r="67" spans="2:4">
      <c r="B67" s="166">
        <v>44317</v>
      </c>
      <c r="C67" s="284">
        <v>89.2</v>
      </c>
      <c r="D67" s="284">
        <v>88.3</v>
      </c>
    </row>
    <row r="68" spans="2:4">
      <c r="B68" s="285">
        <v>44348</v>
      </c>
      <c r="C68" s="286">
        <v>93.6</v>
      </c>
      <c r="D68" s="286">
        <v>92.8</v>
      </c>
    </row>
    <row r="69" spans="2:4">
      <c r="B69" s="166">
        <v>44378</v>
      </c>
      <c r="C69" s="284">
        <v>92.3</v>
      </c>
      <c r="D69" s="284">
        <v>90.7</v>
      </c>
    </row>
    <row r="70" spans="2:4">
      <c r="B70" s="166">
        <v>44409</v>
      </c>
      <c r="C70" s="284">
        <v>93.6</v>
      </c>
      <c r="D70" s="284">
        <v>92.6</v>
      </c>
    </row>
  </sheetData>
  <mergeCells count="4">
    <mergeCell ref="B61:F61"/>
    <mergeCell ref="E14:G14"/>
    <mergeCell ref="F3:G3"/>
    <mergeCell ref="B52:F52"/>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3EC14-429D-44CE-A8D0-72C6CC9D5757}">
  <sheetPr>
    <pageSetUpPr fitToPage="1"/>
  </sheetPr>
  <dimension ref="A1:AC138"/>
  <sheetViews>
    <sheetView workbookViewId="0">
      <selection activeCell="M134" sqref="M134"/>
    </sheetView>
  </sheetViews>
  <sheetFormatPr defaultColWidth="9.109375" defaultRowHeight="13.2"/>
  <cols>
    <col min="1" max="1" width="6.109375" style="32" bestFit="1" customWidth="1"/>
    <col min="2" max="2" width="38.33203125" style="54" customWidth="1"/>
    <col min="3" max="3" width="5" style="30" bestFit="1" customWidth="1"/>
    <col min="4" max="4" width="14.5546875" style="55" bestFit="1" customWidth="1"/>
    <col min="5" max="5" width="15.6640625" style="55" customWidth="1"/>
    <col min="6" max="6" width="14.5546875" style="55" bestFit="1" customWidth="1"/>
    <col min="7" max="7" width="12.33203125" style="55" bestFit="1" customWidth="1"/>
    <col min="8" max="8" width="10.6640625" style="55" bestFit="1" customWidth="1"/>
    <col min="9" max="9" width="14.6640625" style="56" bestFit="1" customWidth="1"/>
    <col min="10" max="10" width="12.6640625" style="30" hidden="1" customWidth="1"/>
    <col min="11" max="11" width="13.33203125" style="30" hidden="1" customWidth="1"/>
    <col min="12" max="12" width="16.6640625" style="31" hidden="1" customWidth="1"/>
    <col min="13" max="13" width="15.33203125" style="31" bestFit="1" customWidth="1"/>
    <col min="14" max="14" width="14.6640625" style="30" bestFit="1" customWidth="1"/>
    <col min="15" max="15" width="16.6640625" style="30" customWidth="1"/>
    <col min="16" max="16" width="14.6640625" style="30" bestFit="1" customWidth="1"/>
    <col min="17" max="17" width="15.6640625" style="30" bestFit="1" customWidth="1"/>
    <col min="18" max="18" width="14.6640625" style="30" bestFit="1" customWidth="1"/>
    <col min="19" max="19" width="15.6640625" style="30" bestFit="1" customWidth="1"/>
    <col min="20" max="20" width="14.6640625" style="30" bestFit="1" customWidth="1"/>
    <col min="21" max="21" width="15.6640625" style="30" bestFit="1" customWidth="1"/>
    <col min="22" max="22" width="14.6640625" style="30" bestFit="1" customWidth="1"/>
    <col min="23" max="23" width="15.6640625" style="30" bestFit="1" customWidth="1"/>
    <col min="24" max="24" width="14.6640625" style="30" bestFit="1" customWidth="1"/>
    <col min="25" max="26" width="15.6640625" style="30" bestFit="1" customWidth="1"/>
    <col min="27" max="27" width="14.6640625" style="30" customWidth="1"/>
    <col min="28" max="28" width="15.6640625" style="30" bestFit="1" customWidth="1"/>
    <col min="29" max="29" width="14.6640625" style="59" bestFit="1" customWidth="1"/>
    <col min="30" max="16384" width="9.109375" style="32"/>
  </cols>
  <sheetData>
    <row r="1" spans="1:29" ht="23.4">
      <c r="A1" s="14" t="str">
        <f>'1. Inputs'!B1</f>
        <v>XYZ LOCAL MUNICIPALITY</v>
      </c>
      <c r="B1" s="33"/>
      <c r="C1" s="33"/>
      <c r="D1" s="33"/>
      <c r="E1" s="33"/>
      <c r="F1" s="33"/>
      <c r="G1" s="33"/>
      <c r="H1" s="33"/>
      <c r="I1" s="28"/>
      <c r="J1" s="29"/>
      <c r="K1" s="32"/>
      <c r="L1" s="32"/>
      <c r="M1" s="32"/>
      <c r="N1" s="32"/>
      <c r="O1" s="32"/>
      <c r="P1" s="32"/>
      <c r="Q1" s="32"/>
      <c r="R1" s="32"/>
      <c r="S1" s="32"/>
      <c r="T1" s="32"/>
      <c r="U1" s="32"/>
      <c r="V1" s="32"/>
      <c r="W1" s="32"/>
      <c r="X1" s="32"/>
      <c r="Y1" s="32"/>
      <c r="Z1" s="32"/>
      <c r="AA1" s="32"/>
      <c r="AB1" s="32"/>
      <c r="AC1" s="32"/>
    </row>
    <row r="2" spans="1:29" ht="23.4">
      <c r="A2" s="16" t="s">
        <v>0</v>
      </c>
      <c r="B2" s="33"/>
      <c r="C2" s="33"/>
      <c r="D2" s="33"/>
      <c r="E2" s="33"/>
      <c r="F2" s="33"/>
      <c r="G2" s="33"/>
      <c r="H2" s="33"/>
      <c r="I2" s="28"/>
      <c r="J2" s="29"/>
      <c r="N2" s="31"/>
      <c r="O2" s="31"/>
      <c r="P2" s="31"/>
      <c r="Q2" s="31"/>
      <c r="R2" s="31"/>
      <c r="S2" s="31"/>
      <c r="T2" s="31"/>
      <c r="U2" s="31"/>
      <c r="V2" s="31"/>
      <c r="W2" s="31"/>
      <c r="X2" s="31"/>
      <c r="Y2" s="31"/>
      <c r="Z2" s="31"/>
      <c r="AA2" s="31"/>
      <c r="AB2" s="31"/>
      <c r="AC2" s="31"/>
    </row>
    <row r="3" spans="1:29" ht="23.4">
      <c r="A3" s="16" t="s">
        <v>99</v>
      </c>
    </row>
    <row r="4" spans="1:29" ht="23.4">
      <c r="A4" s="34"/>
      <c r="B4" s="33"/>
      <c r="C4" s="33"/>
      <c r="D4" s="33"/>
      <c r="E4" s="33"/>
      <c r="F4" s="33"/>
      <c r="G4" s="33"/>
      <c r="H4" s="33"/>
      <c r="I4" s="28"/>
      <c r="J4" s="29"/>
      <c r="N4" s="31"/>
      <c r="O4" s="31"/>
      <c r="P4" s="31"/>
      <c r="Q4" s="31"/>
      <c r="R4" s="31"/>
      <c r="S4" s="31"/>
      <c r="T4" s="31"/>
      <c r="U4" s="31"/>
      <c r="V4" s="31"/>
      <c r="W4" s="31"/>
      <c r="X4" s="31"/>
      <c r="Y4" s="31"/>
      <c r="Z4" s="31"/>
      <c r="AA4" s="31"/>
      <c r="AB4" s="31"/>
      <c r="AC4" s="31"/>
    </row>
    <row r="5" spans="1:29" s="35" customFormat="1" ht="14.4">
      <c r="A5" s="36" t="s">
        <v>64</v>
      </c>
      <c r="B5" s="37" t="s">
        <v>65</v>
      </c>
      <c r="C5" s="37" t="s">
        <v>66</v>
      </c>
      <c r="D5" s="37"/>
      <c r="E5" s="37"/>
      <c r="F5" s="37"/>
      <c r="G5" s="37"/>
      <c r="H5" s="37"/>
      <c r="I5" s="20" t="s">
        <v>100</v>
      </c>
      <c r="J5" s="38"/>
      <c r="K5" s="20" t="s">
        <v>67</v>
      </c>
      <c r="L5" s="39" t="s">
        <v>68</v>
      </c>
      <c r="M5" s="39" t="s">
        <v>67</v>
      </c>
      <c r="N5" s="39" t="s">
        <v>68</v>
      </c>
      <c r="O5" s="39" t="s">
        <v>101</v>
      </c>
      <c r="P5" s="39" t="s">
        <v>102</v>
      </c>
      <c r="Q5" s="39" t="s">
        <v>103</v>
      </c>
      <c r="R5" s="39" t="s">
        <v>104</v>
      </c>
      <c r="S5" s="39" t="s">
        <v>105</v>
      </c>
      <c r="T5" s="39" t="s">
        <v>106</v>
      </c>
      <c r="U5" s="39" t="s">
        <v>107</v>
      </c>
      <c r="V5" s="39" t="s">
        <v>108</v>
      </c>
      <c r="W5" s="39" t="s">
        <v>109</v>
      </c>
      <c r="X5" s="39" t="s">
        <v>110</v>
      </c>
      <c r="Y5" s="39" t="s">
        <v>111</v>
      </c>
      <c r="Z5" s="39" t="s">
        <v>112</v>
      </c>
      <c r="AA5" s="39" t="s">
        <v>113</v>
      </c>
      <c r="AB5" s="39" t="s">
        <v>114</v>
      </c>
      <c r="AC5" s="39" t="s">
        <v>115</v>
      </c>
    </row>
    <row r="6" spans="1:29" s="35" customFormat="1" ht="25.5" customHeight="1">
      <c r="A6" s="40"/>
      <c r="B6" s="41"/>
      <c r="C6" s="41"/>
      <c r="D6" s="41"/>
      <c r="E6" s="41"/>
      <c r="F6" s="41"/>
      <c r="G6" s="41"/>
      <c r="H6" s="41"/>
      <c r="I6" s="20" t="s">
        <v>476</v>
      </c>
      <c r="J6" s="41"/>
      <c r="K6" s="42"/>
      <c r="L6" s="20"/>
      <c r="M6" s="168">
        <v>1</v>
      </c>
      <c r="N6" s="168">
        <v>2</v>
      </c>
      <c r="O6" s="168">
        <v>1</v>
      </c>
      <c r="P6" s="168">
        <v>2</v>
      </c>
      <c r="Q6" s="168">
        <v>2</v>
      </c>
      <c r="R6" s="168">
        <v>2</v>
      </c>
      <c r="S6" s="168">
        <v>1</v>
      </c>
      <c r="T6" s="168">
        <v>2</v>
      </c>
      <c r="U6" s="168">
        <f>7300*2</f>
        <v>14600</v>
      </c>
      <c r="V6" s="168">
        <v>2</v>
      </c>
      <c r="W6" s="168">
        <v>1</v>
      </c>
      <c r="X6" s="168">
        <v>2</v>
      </c>
      <c r="Y6" s="168">
        <v>2</v>
      </c>
      <c r="Z6" s="168">
        <v>2</v>
      </c>
      <c r="AA6" s="168">
        <v>2</v>
      </c>
      <c r="AB6" s="168">
        <v>1</v>
      </c>
      <c r="AC6" s="169">
        <v>8</v>
      </c>
    </row>
    <row r="7" spans="1:29" s="35" customFormat="1" ht="96" customHeight="1">
      <c r="A7" s="71" t="s">
        <v>117</v>
      </c>
      <c r="B7" s="71" t="s">
        <v>118</v>
      </c>
      <c r="C7" s="71" t="s">
        <v>70</v>
      </c>
      <c r="D7" s="71" t="s">
        <v>506</v>
      </c>
      <c r="E7" s="71" t="s">
        <v>507</v>
      </c>
      <c r="F7" s="71" t="s">
        <v>485</v>
      </c>
      <c r="G7" s="71" t="s">
        <v>497</v>
      </c>
      <c r="H7" s="71" t="s">
        <v>498</v>
      </c>
      <c r="I7" s="71" t="s">
        <v>477</v>
      </c>
      <c r="J7" s="71" t="s">
        <v>122</v>
      </c>
      <c r="K7" s="71" t="s">
        <v>71</v>
      </c>
      <c r="L7" s="71" t="s">
        <v>123</v>
      </c>
      <c r="M7" s="71" t="s">
        <v>124</v>
      </c>
      <c r="N7" s="71" t="s">
        <v>75</v>
      </c>
      <c r="O7" s="71" t="s">
        <v>125</v>
      </c>
      <c r="P7" s="71" t="s">
        <v>77</v>
      </c>
      <c r="Q7" s="71" t="s">
        <v>126</v>
      </c>
      <c r="R7" s="71" t="s">
        <v>127</v>
      </c>
      <c r="S7" s="71" t="s">
        <v>128</v>
      </c>
      <c r="T7" s="71" t="s">
        <v>129</v>
      </c>
      <c r="U7" s="71" t="s">
        <v>130</v>
      </c>
      <c r="V7" s="71" t="s">
        <v>131</v>
      </c>
      <c r="W7" s="71" t="s">
        <v>132</v>
      </c>
      <c r="X7" s="71" t="s">
        <v>133</v>
      </c>
      <c r="Y7" s="71" t="s">
        <v>134</v>
      </c>
      <c r="Z7" s="71" t="s">
        <v>135</v>
      </c>
      <c r="AA7" s="71" t="s">
        <v>136</v>
      </c>
      <c r="AB7" s="71" t="s">
        <v>137</v>
      </c>
      <c r="AC7" s="71" t="s">
        <v>138</v>
      </c>
    </row>
    <row r="8" spans="1:29" ht="14.4">
      <c r="A8" s="37">
        <v>1</v>
      </c>
      <c r="B8" s="43" t="s">
        <v>139</v>
      </c>
      <c r="C8" s="23" t="s">
        <v>140</v>
      </c>
      <c r="D8" s="44"/>
      <c r="E8" s="117">
        <v>0.08</v>
      </c>
      <c r="F8" s="44"/>
      <c r="G8" s="44"/>
      <c r="H8" s="44"/>
      <c r="I8" s="45">
        <f>E8*SUM(L11:L122)</f>
        <v>20531558.826240003</v>
      </c>
      <c r="J8" s="45">
        <v>1</v>
      </c>
      <c r="K8" s="45">
        <f>SUM(M8:AC8)</f>
        <v>0.99999999999999989</v>
      </c>
      <c r="L8" s="46">
        <f>K8*I8</f>
        <v>20531558.826239999</v>
      </c>
      <c r="M8" s="47">
        <f>M$137</f>
        <v>6.2985675577485037E-2</v>
      </c>
      <c r="N8" s="47">
        <f t="shared" ref="N8:AC8" si="0">N$137</f>
        <v>3.1153526196712533E-2</v>
      </c>
      <c r="O8" s="47">
        <f t="shared" si="0"/>
        <v>6.0460499122872734E-2</v>
      </c>
      <c r="P8" s="47">
        <f t="shared" si="0"/>
        <v>3.8976565848600264E-2</v>
      </c>
      <c r="Q8" s="47">
        <f t="shared" si="0"/>
        <v>0.12092554040342116</v>
      </c>
      <c r="R8" s="47">
        <f t="shared" si="0"/>
        <v>1.5318561165892433E-2</v>
      </c>
      <c r="S8" s="47">
        <f t="shared" si="0"/>
        <v>4.0457532285106491E-2</v>
      </c>
      <c r="T8" s="47">
        <f t="shared" si="0"/>
        <v>1.4300014374800314E-2</v>
      </c>
      <c r="U8" s="47">
        <f t="shared" si="0"/>
        <v>0.29490491879704528</v>
      </c>
      <c r="V8" s="47">
        <f t="shared" si="0"/>
        <v>1.8644708980523193E-2</v>
      </c>
      <c r="W8" s="47">
        <f t="shared" si="0"/>
        <v>3.1738059416996409E-2</v>
      </c>
      <c r="X8" s="47">
        <f t="shared" si="0"/>
        <v>1.4924002011946757E-2</v>
      </c>
      <c r="Y8" s="47">
        <f t="shared" si="0"/>
        <v>8.2369246356457856E-2</v>
      </c>
      <c r="Z8" s="47">
        <f t="shared" si="0"/>
        <v>0.10865301224057701</v>
      </c>
      <c r="AA8" s="47">
        <f t="shared" si="0"/>
        <v>7.7731442904756601E-3</v>
      </c>
      <c r="AB8" s="47">
        <f t="shared" si="0"/>
        <v>2.8833102885077004E-2</v>
      </c>
      <c r="AC8" s="47">
        <f t="shared" si="0"/>
        <v>2.7581890046009784E-2</v>
      </c>
    </row>
    <row r="9" spans="1:29">
      <c r="A9" s="37"/>
      <c r="B9" s="20"/>
      <c r="C9" s="20"/>
      <c r="D9" s="44"/>
      <c r="E9" s="44"/>
      <c r="F9" s="44"/>
      <c r="G9" s="44"/>
      <c r="H9" s="44"/>
      <c r="I9" s="48"/>
      <c r="J9" s="45"/>
      <c r="K9" s="45"/>
      <c r="L9" s="46"/>
      <c r="M9" s="46"/>
      <c r="N9" s="23"/>
      <c r="O9" s="23"/>
      <c r="P9" s="23"/>
      <c r="Q9" s="23"/>
      <c r="R9" s="23"/>
      <c r="S9" s="23"/>
      <c r="T9" s="23"/>
      <c r="U9" s="23"/>
      <c r="V9" s="23"/>
      <c r="W9" s="23"/>
      <c r="X9" s="23"/>
      <c r="Y9" s="23"/>
      <c r="Z9" s="23"/>
      <c r="AA9" s="23"/>
      <c r="AB9" s="23"/>
      <c r="AC9" s="49"/>
    </row>
    <row r="10" spans="1:29">
      <c r="A10" s="169">
        <v>2</v>
      </c>
      <c r="B10" s="170" t="s">
        <v>141</v>
      </c>
      <c r="C10" s="168"/>
      <c r="D10" s="171"/>
      <c r="E10" s="171"/>
      <c r="F10" s="171"/>
      <c r="G10" s="44"/>
      <c r="H10" s="44"/>
      <c r="I10" s="48"/>
      <c r="J10" s="45"/>
      <c r="K10" s="45"/>
      <c r="L10" s="46"/>
      <c r="M10" s="178"/>
      <c r="N10" s="174"/>
      <c r="O10" s="174"/>
      <c r="P10" s="174"/>
      <c r="Q10" s="174"/>
      <c r="R10" s="174"/>
      <c r="S10" s="174"/>
      <c r="T10" s="174"/>
      <c r="U10" s="174"/>
      <c r="V10" s="174"/>
      <c r="W10" s="174"/>
      <c r="X10" s="174"/>
      <c r="Y10" s="174"/>
      <c r="Z10" s="174"/>
      <c r="AA10" s="174"/>
      <c r="AB10" s="174"/>
      <c r="AC10" s="172"/>
    </row>
    <row r="11" spans="1:29" ht="26.4">
      <c r="A11" s="172">
        <v>2.1</v>
      </c>
      <c r="B11" s="173" t="s">
        <v>142</v>
      </c>
      <c r="C11" s="174" t="s">
        <v>143</v>
      </c>
      <c r="D11" s="171">
        <f>672.14-78+30.37+3.89+11.89</f>
        <v>640.29</v>
      </c>
      <c r="E11" s="171">
        <f>455.93-12+9.08+2.33+4.24+4.05</f>
        <v>463.63</v>
      </c>
      <c r="F11" s="175">
        <v>44197</v>
      </c>
      <c r="G11" s="116">
        <f>IF($F11="", '4.Escalation'!G$28/'4.Escalation'!D$10, '4.Escalation'!G$28/VLOOKUP(F11,'4.Escalation'!$B$16:$D$27,3,0) )</f>
        <v>1.6888579872234699</v>
      </c>
      <c r="H11" s="116">
        <f>IF($F11="", '4.Escalation'!F$28/'4.Escalation'!C$10, '4.Escalation'!F$28/VLOOKUP(F11,'4.Escalation'!$B$16:$D$27,2,0) )</f>
        <v>1.5590263353115725</v>
      </c>
      <c r="I11" s="48">
        <f>ROUND(D11*G11+E11*H11,2)</f>
        <v>1804.17</v>
      </c>
      <c r="J11" s="45">
        <v>8250</v>
      </c>
      <c r="K11" s="45">
        <f t="shared" ref="K11:K17" si="1">SUM(M11:AC11)</f>
        <v>7500</v>
      </c>
      <c r="L11" s="46">
        <f t="shared" ref="L11:L17" si="2">K11*I11</f>
        <v>13531275</v>
      </c>
      <c r="M11" s="178"/>
      <c r="N11" s="174"/>
      <c r="O11" s="179">
        <f>100*25</f>
        <v>2500</v>
      </c>
      <c r="P11" s="174"/>
      <c r="Q11" s="174"/>
      <c r="R11" s="174"/>
      <c r="S11" s="179">
        <f>100*25</f>
        <v>2500</v>
      </c>
      <c r="T11" s="174"/>
      <c r="U11" s="174"/>
      <c r="V11" s="174"/>
      <c r="W11" s="179">
        <f>50*25</f>
        <v>1250</v>
      </c>
      <c r="X11" s="174"/>
      <c r="Y11" s="174"/>
      <c r="Z11" s="174"/>
      <c r="AA11" s="174"/>
      <c r="AB11" s="179">
        <f>50*25</f>
        <v>1250</v>
      </c>
      <c r="AC11" s="174"/>
    </row>
    <row r="12" spans="1:29" ht="15.6">
      <c r="A12" s="172">
        <v>2.2000000000000002</v>
      </c>
      <c r="B12" s="173" t="s">
        <v>144</v>
      </c>
      <c r="C12" s="174" t="s">
        <v>143</v>
      </c>
      <c r="D12" s="171">
        <v>112.09</v>
      </c>
      <c r="E12" s="171">
        <v>100.26</v>
      </c>
      <c r="F12" s="175">
        <v>44197</v>
      </c>
      <c r="G12" s="116">
        <f>IF(F12="", '4.Escalation'!G$28/'4.Escalation'!D$10, '4.Escalation'!G$28/VLOOKUP(F12,'4.Escalation'!$B$16:$D$27,3,0) )</f>
        <v>1.6888579872234699</v>
      </c>
      <c r="H12" s="116">
        <f>IF($F12="", '4.Escalation'!F$28/'4.Escalation'!C$10, '4.Escalation'!F$28/VLOOKUP(F12,'4.Escalation'!$B$16:$D$27,2,0) )</f>
        <v>1.5590263353115725</v>
      </c>
      <c r="I12" s="48">
        <f t="shared" ref="I12:I17" si="3">ROUND(D12*G12+E12*H12,2)</f>
        <v>345.61</v>
      </c>
      <c r="J12" s="45">
        <v>8250</v>
      </c>
      <c r="K12" s="45">
        <f t="shared" si="1"/>
        <v>7500</v>
      </c>
      <c r="L12" s="46">
        <f>K12*I12</f>
        <v>2592075</v>
      </c>
      <c r="M12" s="178"/>
      <c r="N12" s="180"/>
      <c r="O12" s="179">
        <f>O11</f>
        <v>2500</v>
      </c>
      <c r="P12" s="174"/>
      <c r="Q12" s="174"/>
      <c r="R12" s="174"/>
      <c r="S12" s="179">
        <f>S11</f>
        <v>2500</v>
      </c>
      <c r="T12" s="174"/>
      <c r="U12" s="174"/>
      <c r="V12" s="174"/>
      <c r="W12" s="179">
        <f>W11</f>
        <v>1250</v>
      </c>
      <c r="X12" s="174"/>
      <c r="Y12" s="174"/>
      <c r="Z12" s="174"/>
      <c r="AA12" s="174"/>
      <c r="AB12" s="179">
        <f>AB11</f>
        <v>1250</v>
      </c>
      <c r="AC12" s="180"/>
    </row>
    <row r="13" spans="1:29" ht="14.4">
      <c r="A13" s="172">
        <v>2.2999999999999998</v>
      </c>
      <c r="B13" s="173" t="s">
        <v>146</v>
      </c>
      <c r="C13" s="174" t="s">
        <v>145</v>
      </c>
      <c r="D13" s="171">
        <f>780*0.1</f>
        <v>78</v>
      </c>
      <c r="E13" s="171">
        <f>120*0.1</f>
        <v>12</v>
      </c>
      <c r="F13" s="175">
        <v>44197</v>
      </c>
      <c r="G13" s="116">
        <f>IF(F13="", '4.Escalation'!G$28/'4.Escalation'!D$10, '4.Escalation'!G$28/VLOOKUP(F13,'4.Escalation'!$B$16:$D$27,3,0) )</f>
        <v>1.6888579872234699</v>
      </c>
      <c r="H13" s="116">
        <f>IF($F13="", '4.Escalation'!F$28/'4.Escalation'!C$10, '4.Escalation'!F$28/VLOOKUP(F13,'4.Escalation'!$B$16:$D$27,2,0) )</f>
        <v>1.5590263353115725</v>
      </c>
      <c r="I13" s="48">
        <f t="shared" si="3"/>
        <v>150.44</v>
      </c>
      <c r="J13" s="45">
        <v>565.20000000000005</v>
      </c>
      <c r="K13" s="45">
        <f t="shared" si="1"/>
        <v>7500</v>
      </c>
      <c r="L13" s="46">
        <f t="shared" si="2"/>
        <v>1128300</v>
      </c>
      <c r="M13" s="178"/>
      <c r="N13" s="180"/>
      <c r="O13" s="179">
        <f>O11</f>
        <v>2500</v>
      </c>
      <c r="P13" s="174"/>
      <c r="Q13" s="174"/>
      <c r="R13" s="174"/>
      <c r="S13" s="179">
        <f>S11</f>
        <v>2500</v>
      </c>
      <c r="T13" s="179"/>
      <c r="U13" s="179"/>
      <c r="V13" s="174"/>
      <c r="W13" s="179">
        <f>W11</f>
        <v>1250</v>
      </c>
      <c r="X13" s="179"/>
      <c r="Y13" s="179"/>
      <c r="Z13" s="179"/>
      <c r="AA13" s="179"/>
      <c r="AB13" s="179">
        <f>AB11</f>
        <v>1250</v>
      </c>
      <c r="AC13" s="180"/>
    </row>
    <row r="14" spans="1:29" ht="14.4">
      <c r="A14" s="172">
        <v>2.4</v>
      </c>
      <c r="B14" s="173" t="s">
        <v>148</v>
      </c>
      <c r="C14" s="174" t="s">
        <v>81</v>
      </c>
      <c r="D14" s="171">
        <v>1213.83</v>
      </c>
      <c r="E14" s="171">
        <v>476.21</v>
      </c>
      <c r="F14" s="175">
        <v>44197</v>
      </c>
      <c r="G14" s="116">
        <f>IF(F14="", '4.Escalation'!G$28/'4.Escalation'!D$10, '4.Escalation'!G$28/VLOOKUP(F14,'4.Escalation'!$B$16:$D$27,3,0) )</f>
        <v>1.6888579872234699</v>
      </c>
      <c r="H14" s="116">
        <f>IF($F14="", '4.Escalation'!F$28/'4.Escalation'!C$10, '4.Escalation'!F$28/VLOOKUP(F14,'4.Escalation'!$B$16:$D$27,2,0) )</f>
        <v>1.5590263353115725</v>
      </c>
      <c r="I14" s="48">
        <f t="shared" si="3"/>
        <v>2792.41</v>
      </c>
      <c r="J14" s="45">
        <v>660</v>
      </c>
      <c r="K14" s="45">
        <f t="shared" si="1"/>
        <v>400</v>
      </c>
      <c r="L14" s="46">
        <f t="shared" si="2"/>
        <v>1116964</v>
      </c>
      <c r="M14" s="178"/>
      <c r="N14" s="180"/>
      <c r="O14" s="179">
        <f>100+25</f>
        <v>125</v>
      </c>
      <c r="P14" s="174"/>
      <c r="Q14" s="174"/>
      <c r="R14" s="174"/>
      <c r="S14" s="179">
        <f>100+25</f>
        <v>125</v>
      </c>
      <c r="T14" s="174"/>
      <c r="U14" s="174"/>
      <c r="V14" s="174"/>
      <c r="W14" s="179">
        <f>50+25</f>
        <v>75</v>
      </c>
      <c r="X14" s="174"/>
      <c r="Y14" s="174"/>
      <c r="Z14" s="174"/>
      <c r="AA14" s="174"/>
      <c r="AB14" s="179">
        <f>50+25</f>
        <v>75</v>
      </c>
      <c r="AC14" s="180"/>
    </row>
    <row r="15" spans="1:29" ht="26.4">
      <c r="A15" s="172">
        <v>2.5</v>
      </c>
      <c r="B15" s="173" t="s">
        <v>149</v>
      </c>
      <c r="C15" s="174" t="s">
        <v>145</v>
      </c>
      <c r="D15" s="171">
        <f>0.69*8000</f>
        <v>5520</v>
      </c>
      <c r="E15" s="171">
        <f>0.31*8000</f>
        <v>2480</v>
      </c>
      <c r="F15" s="175">
        <v>44197</v>
      </c>
      <c r="G15" s="116">
        <f>IF(F15="", '4.Escalation'!G$28/'4.Escalation'!D$10, '4.Escalation'!G$28/VLOOKUP(F15,'4.Escalation'!$B$16:$D$27,3,0) )</f>
        <v>1.6888579872234699</v>
      </c>
      <c r="H15" s="116">
        <f>IF($F15="", '4.Escalation'!F$28/'4.Escalation'!C$10, '4.Escalation'!F$28/VLOOKUP(F15,'4.Escalation'!$B$16:$D$27,2,0) )</f>
        <v>1.5590263353115725</v>
      </c>
      <c r="I15" s="48">
        <f t="shared" si="3"/>
        <v>13188.88</v>
      </c>
      <c r="J15" s="45">
        <v>0</v>
      </c>
      <c r="K15" s="45">
        <f t="shared" si="1"/>
        <v>98</v>
      </c>
      <c r="L15" s="46">
        <f t="shared" si="2"/>
        <v>1292510.24</v>
      </c>
      <c r="M15" s="178"/>
      <c r="N15" s="174"/>
      <c r="O15" s="174"/>
      <c r="P15" s="174"/>
      <c r="Q15" s="174"/>
      <c r="R15" s="180"/>
      <c r="S15" s="180"/>
      <c r="T15" s="180"/>
      <c r="U15" s="180"/>
      <c r="V15" s="180"/>
      <c r="W15" s="174">
        <f>7*14</f>
        <v>98</v>
      </c>
      <c r="X15" s="180"/>
      <c r="Y15" s="174"/>
      <c r="Z15" s="174"/>
      <c r="AA15" s="174"/>
      <c r="AB15" s="174"/>
      <c r="AC15" s="172"/>
    </row>
    <row r="16" spans="1:29" ht="26.4">
      <c r="A16" s="172">
        <v>2.6</v>
      </c>
      <c r="B16" s="173" t="s">
        <v>150</v>
      </c>
      <c r="C16" s="174" t="s">
        <v>145</v>
      </c>
      <c r="D16" s="171">
        <f t="shared" ref="D16:D17" si="4">0.69*8000</f>
        <v>5520</v>
      </c>
      <c r="E16" s="171">
        <f t="shared" ref="E16:E17" si="5">0.31*8000</f>
        <v>2480</v>
      </c>
      <c r="F16" s="175">
        <v>44197</v>
      </c>
      <c r="G16" s="116">
        <f>IF(F16="", '4.Escalation'!G$28/'4.Escalation'!D$10, '4.Escalation'!G$28/VLOOKUP(F16,'4.Escalation'!$B$16:$D$27,3,0) )</f>
        <v>1.6888579872234699</v>
      </c>
      <c r="H16" s="116">
        <f>IF($F16="", '4.Escalation'!F$28/'4.Escalation'!C$10, '4.Escalation'!F$28/VLOOKUP(F16,'4.Escalation'!$B$16:$D$27,2,0) )</f>
        <v>1.5590263353115725</v>
      </c>
      <c r="I16" s="48">
        <f t="shared" si="3"/>
        <v>13188.88</v>
      </c>
      <c r="J16" s="45">
        <v>400</v>
      </c>
      <c r="K16" s="45">
        <f t="shared" si="1"/>
        <v>72</v>
      </c>
      <c r="L16" s="46">
        <f>K16*I16</f>
        <v>949599.36</v>
      </c>
      <c r="M16" s="178"/>
      <c r="N16" s="174"/>
      <c r="O16" s="174"/>
      <c r="P16" s="174"/>
      <c r="Q16" s="174"/>
      <c r="R16" s="174"/>
      <c r="S16" s="174"/>
      <c r="T16" s="174"/>
      <c r="U16" s="174"/>
      <c r="V16" s="174"/>
      <c r="W16" s="174"/>
      <c r="X16" s="174"/>
      <c r="Y16" s="174"/>
      <c r="Z16" s="174"/>
      <c r="AA16" s="179"/>
      <c r="AB16" s="179">
        <f>12*6</f>
        <v>72</v>
      </c>
      <c r="AC16" s="179"/>
    </row>
    <row r="17" spans="1:29" ht="14.4">
      <c r="A17" s="172">
        <v>2.7</v>
      </c>
      <c r="B17" s="173" t="s">
        <v>151</v>
      </c>
      <c r="C17" s="174" t="s">
        <v>145</v>
      </c>
      <c r="D17" s="171">
        <f t="shared" si="4"/>
        <v>5520</v>
      </c>
      <c r="E17" s="171">
        <f t="shared" si="5"/>
        <v>2480</v>
      </c>
      <c r="F17" s="175">
        <v>44197</v>
      </c>
      <c r="G17" s="116">
        <f>IF(F17="", '4.Escalation'!G$28/'4.Escalation'!D$10, '4.Escalation'!G$28/VLOOKUP(F17,'4.Escalation'!$B$16:$D$27,3,0) )</f>
        <v>1.6888579872234699</v>
      </c>
      <c r="H17" s="116">
        <f>IF($F17="", '4.Escalation'!F$28/'4.Escalation'!C$10, '4.Escalation'!F$28/VLOOKUP(F17,'4.Escalation'!$B$16:$D$27,2,0) )</f>
        <v>1.5590263353115725</v>
      </c>
      <c r="I17" s="48">
        <f t="shared" si="3"/>
        <v>13188.88</v>
      </c>
      <c r="J17" s="45">
        <v>90</v>
      </c>
      <c r="K17" s="45">
        <f t="shared" si="1"/>
        <v>50</v>
      </c>
      <c r="L17" s="46">
        <f t="shared" si="2"/>
        <v>659444</v>
      </c>
      <c r="M17" s="178"/>
      <c r="N17" s="174"/>
      <c r="O17" s="174">
        <f>5*5</f>
        <v>25</v>
      </c>
      <c r="P17" s="174"/>
      <c r="Q17" s="174"/>
      <c r="R17" s="174"/>
      <c r="S17" s="174">
        <f>5*5</f>
        <v>25</v>
      </c>
      <c r="T17" s="174"/>
      <c r="U17" s="174"/>
      <c r="V17" s="174"/>
      <c r="W17" s="174"/>
      <c r="X17" s="174"/>
      <c r="Y17" s="174"/>
      <c r="Z17" s="174"/>
      <c r="AA17" s="180"/>
      <c r="AB17" s="180"/>
      <c r="AC17" s="180"/>
    </row>
    <row r="18" spans="1:29">
      <c r="A18" s="172"/>
      <c r="B18" s="176"/>
      <c r="C18" s="174"/>
      <c r="D18" s="171"/>
      <c r="E18" s="171"/>
      <c r="F18" s="171"/>
      <c r="G18" s="44"/>
      <c r="H18" s="44"/>
      <c r="I18" s="48"/>
      <c r="J18" s="45">
        <v>0</v>
      </c>
      <c r="K18" s="45"/>
      <c r="L18" s="46"/>
      <c r="M18" s="178"/>
      <c r="N18" s="174"/>
      <c r="O18" s="174"/>
      <c r="P18" s="174"/>
      <c r="Q18" s="174"/>
      <c r="R18" s="174"/>
      <c r="S18" s="179"/>
      <c r="T18" s="174"/>
      <c r="U18" s="174"/>
      <c r="V18" s="174"/>
      <c r="W18" s="179"/>
      <c r="X18" s="174"/>
      <c r="Y18" s="174"/>
      <c r="Z18" s="174"/>
      <c r="AA18" s="174"/>
      <c r="AB18" s="179"/>
      <c r="AC18" s="172"/>
    </row>
    <row r="19" spans="1:29">
      <c r="A19" s="169">
        <v>3</v>
      </c>
      <c r="B19" s="176" t="s">
        <v>152</v>
      </c>
      <c r="C19" s="174"/>
      <c r="D19" s="171"/>
      <c r="E19" s="171"/>
      <c r="F19" s="171"/>
      <c r="G19" s="44"/>
      <c r="H19" s="44"/>
      <c r="I19" s="48"/>
      <c r="J19" s="45">
        <v>0</v>
      </c>
      <c r="K19" s="45"/>
      <c r="L19" s="46"/>
      <c r="M19" s="178"/>
      <c r="N19" s="174"/>
      <c r="O19" s="174"/>
      <c r="P19" s="174"/>
      <c r="Q19" s="174"/>
      <c r="R19" s="174"/>
      <c r="S19" s="174"/>
      <c r="T19" s="174"/>
      <c r="U19" s="174"/>
      <c r="V19" s="174"/>
      <c r="W19" s="174"/>
      <c r="X19" s="174"/>
      <c r="Y19" s="174"/>
      <c r="Z19" s="174"/>
      <c r="AA19" s="174"/>
      <c r="AB19" s="174"/>
      <c r="AC19" s="172"/>
    </row>
    <row r="20" spans="1:29">
      <c r="A20" s="172">
        <v>3.1</v>
      </c>
      <c r="B20" s="176" t="s">
        <v>153</v>
      </c>
      <c r="C20" s="174"/>
      <c r="D20" s="171"/>
      <c r="E20" s="171"/>
      <c r="F20" s="171"/>
      <c r="G20" s="44"/>
      <c r="H20" s="44"/>
      <c r="I20" s="48"/>
      <c r="J20" s="45">
        <v>0</v>
      </c>
      <c r="K20" s="45"/>
      <c r="L20" s="46"/>
      <c r="M20" s="178"/>
      <c r="N20" s="174"/>
      <c r="O20" s="174"/>
      <c r="P20" s="174"/>
      <c r="Q20" s="174"/>
      <c r="R20" s="174"/>
      <c r="S20" s="174"/>
      <c r="T20" s="174"/>
      <c r="U20" s="174"/>
      <c r="V20" s="174"/>
      <c r="W20" s="174"/>
      <c r="X20" s="174"/>
      <c r="Y20" s="174"/>
      <c r="Z20" s="174"/>
      <c r="AA20" s="174"/>
      <c r="AB20" s="174"/>
      <c r="AC20" s="172"/>
    </row>
    <row r="21" spans="1:29" ht="14.4">
      <c r="A21" s="172" t="s">
        <v>154</v>
      </c>
      <c r="B21" s="173" t="s">
        <v>155</v>
      </c>
      <c r="C21" s="174" t="s">
        <v>76</v>
      </c>
      <c r="D21" s="171"/>
      <c r="E21" s="171">
        <v>1840</v>
      </c>
      <c r="F21" s="175">
        <v>44409</v>
      </c>
      <c r="G21" s="116">
        <f>IF(F21="", '4.Escalation'!G$28/'4.Escalation'!D$10, '4.Escalation'!G$28/VLOOKUP(F21,'4.Escalation'!$B$16:$D$27,3,0) )</f>
        <v>1.4128940443907485</v>
      </c>
      <c r="H21" s="116">
        <f>IF($F21="", '4.Escalation'!F$28/'4.Escalation'!C$10, '4.Escalation'!F$28/VLOOKUP(F21,'4.Escalation'!$B$16:$D$27,2,0) )</f>
        <v>1.3151235919899873</v>
      </c>
      <c r="I21" s="48">
        <f t="shared" ref="I21:I35" si="6">ROUND(D21*G21+E21*H21,2)</f>
        <v>2419.83</v>
      </c>
      <c r="J21" s="45">
        <v>8</v>
      </c>
      <c r="K21" s="45">
        <f>SUM(M21:AC21)</f>
        <v>5</v>
      </c>
      <c r="L21" s="46">
        <f t="shared" ref="L21:L35" si="7">K21*I21</f>
        <v>12099.15</v>
      </c>
      <c r="M21" s="178"/>
      <c r="N21" s="174"/>
      <c r="O21" s="174"/>
      <c r="P21" s="174"/>
      <c r="Q21" s="174"/>
      <c r="R21" s="174">
        <v>2</v>
      </c>
      <c r="S21" s="174">
        <f>S38</f>
        <v>1</v>
      </c>
      <c r="T21" s="174">
        <v>2</v>
      </c>
      <c r="U21" s="174"/>
      <c r="V21" s="174"/>
      <c r="W21" s="174"/>
      <c r="X21" s="174"/>
      <c r="Y21" s="174"/>
      <c r="Z21" s="174"/>
      <c r="AA21" s="174"/>
      <c r="AB21" s="174"/>
      <c r="AC21" s="174"/>
    </row>
    <row r="22" spans="1:29" ht="14.4">
      <c r="A22" s="172" t="s">
        <v>156</v>
      </c>
      <c r="B22" s="173" t="s">
        <v>157</v>
      </c>
      <c r="C22" s="174" t="s">
        <v>76</v>
      </c>
      <c r="D22" s="171"/>
      <c r="E22" s="171">
        <v>2000</v>
      </c>
      <c r="F22" s="175">
        <v>44409</v>
      </c>
      <c r="G22" s="116">
        <f>IF(F22="", '4.Escalation'!G$28/'4.Escalation'!D$10, '4.Escalation'!G$28/VLOOKUP(F22,'4.Escalation'!$B$16:$D$27,3,0) )</f>
        <v>1.4128940443907485</v>
      </c>
      <c r="H22" s="116">
        <f>IF($F22="", '4.Escalation'!F$28/'4.Escalation'!C$10, '4.Escalation'!F$28/VLOOKUP(F22,'4.Escalation'!$B$16:$D$27,2,0) )</f>
        <v>1.3151235919899873</v>
      </c>
      <c r="I22" s="48">
        <f t="shared" si="6"/>
        <v>2630.25</v>
      </c>
      <c r="J22" s="45">
        <v>12</v>
      </c>
      <c r="K22" s="45">
        <f t="shared" ref="K22:K35" si="8">SUM(M22:AC22)</f>
        <v>5</v>
      </c>
      <c r="L22" s="46">
        <f t="shared" si="7"/>
        <v>13151.25</v>
      </c>
      <c r="M22" s="178"/>
      <c r="N22" s="174">
        <f>N39</f>
        <v>2</v>
      </c>
      <c r="O22" s="174">
        <f>O39</f>
        <v>1</v>
      </c>
      <c r="P22" s="174">
        <v>2</v>
      </c>
      <c r="Q22" s="174"/>
      <c r="R22" s="174"/>
      <c r="S22" s="174"/>
      <c r="T22" s="174"/>
      <c r="U22" s="174"/>
      <c r="V22" s="174"/>
      <c r="W22" s="174"/>
      <c r="X22" s="174"/>
      <c r="Y22" s="174"/>
      <c r="Z22" s="174"/>
      <c r="AA22" s="174"/>
      <c r="AB22" s="174"/>
      <c r="AC22" s="174"/>
    </row>
    <row r="23" spans="1:29" ht="14.4">
      <c r="A23" s="172" t="s">
        <v>158</v>
      </c>
      <c r="B23" s="173" t="s">
        <v>159</v>
      </c>
      <c r="C23" s="174" t="s">
        <v>76</v>
      </c>
      <c r="D23" s="171"/>
      <c r="E23" s="171">
        <f>E21</f>
        <v>1840</v>
      </c>
      <c r="F23" s="175">
        <v>44409</v>
      </c>
      <c r="G23" s="116">
        <f>IF(F23="", '4.Escalation'!G$28/'4.Escalation'!D$10, '4.Escalation'!G$28/VLOOKUP(F23,'4.Escalation'!$B$16:$D$27,3,0) )</f>
        <v>1.4128940443907485</v>
      </c>
      <c r="H23" s="116">
        <f>IF($F23="", '4.Escalation'!F$28/'4.Escalation'!C$10, '4.Escalation'!F$28/VLOOKUP(F23,'4.Escalation'!$B$16:$D$27,2,0) )</f>
        <v>1.3151235919899873</v>
      </c>
      <c r="I23" s="48">
        <f t="shared" si="6"/>
        <v>2419.83</v>
      </c>
      <c r="J23" s="45">
        <v>0</v>
      </c>
      <c r="K23" s="45">
        <f t="shared" si="8"/>
        <v>0</v>
      </c>
      <c r="L23" s="46">
        <f t="shared" si="7"/>
        <v>0</v>
      </c>
      <c r="M23" s="178"/>
      <c r="N23" s="174"/>
      <c r="O23" s="174"/>
      <c r="P23" s="174"/>
      <c r="Q23" s="174"/>
      <c r="R23" s="174"/>
      <c r="S23" s="174"/>
      <c r="T23" s="174"/>
      <c r="U23" s="174"/>
      <c r="V23" s="174"/>
      <c r="W23" s="174"/>
      <c r="X23" s="174"/>
      <c r="Y23" s="174"/>
      <c r="Z23" s="174"/>
      <c r="AA23" s="174"/>
      <c r="AB23" s="174"/>
      <c r="AC23" s="174"/>
    </row>
    <row r="24" spans="1:29" ht="14.4">
      <c r="A24" s="172" t="s">
        <v>160</v>
      </c>
      <c r="B24" s="173" t="s">
        <v>161</v>
      </c>
      <c r="C24" s="174" t="s">
        <v>76</v>
      </c>
      <c r="D24" s="171"/>
      <c r="E24" s="171">
        <f>E22</f>
        <v>2000</v>
      </c>
      <c r="F24" s="175">
        <v>44409</v>
      </c>
      <c r="G24" s="116">
        <f>IF(F24="", '4.Escalation'!G$28/'4.Escalation'!D$10, '4.Escalation'!G$28/VLOOKUP(F24,'4.Escalation'!$B$16:$D$27,3,0) )</f>
        <v>1.4128940443907485</v>
      </c>
      <c r="H24" s="116">
        <f>IF($F24="", '4.Escalation'!F$28/'4.Escalation'!C$10, '4.Escalation'!F$28/VLOOKUP(F24,'4.Escalation'!$B$16:$D$27,2,0) )</f>
        <v>1.3151235919899873</v>
      </c>
      <c r="I24" s="48">
        <f t="shared" si="6"/>
        <v>2630.25</v>
      </c>
      <c r="J24" s="45">
        <v>20</v>
      </c>
      <c r="K24" s="45">
        <f t="shared" si="8"/>
        <v>12</v>
      </c>
      <c r="L24" s="46">
        <f t="shared" si="7"/>
        <v>31563</v>
      </c>
      <c r="M24" s="178"/>
      <c r="N24" s="174">
        <f>N41</f>
        <v>4</v>
      </c>
      <c r="O24" s="174">
        <f>O41</f>
        <v>6</v>
      </c>
      <c r="P24" s="174">
        <f>P41</f>
        <v>2</v>
      </c>
      <c r="Q24" s="174"/>
      <c r="R24" s="174"/>
      <c r="S24" s="174"/>
      <c r="T24" s="174"/>
      <c r="U24" s="174"/>
      <c r="V24" s="174"/>
      <c r="W24" s="174"/>
      <c r="X24" s="174"/>
      <c r="Y24" s="174"/>
      <c r="Z24" s="174"/>
      <c r="AA24" s="174"/>
      <c r="AB24" s="174"/>
      <c r="AC24" s="174"/>
    </row>
    <row r="25" spans="1:29" ht="14.4">
      <c r="A25" s="172" t="s">
        <v>162</v>
      </c>
      <c r="B25" s="173" t="s">
        <v>163</v>
      </c>
      <c r="C25" s="174" t="s">
        <v>76</v>
      </c>
      <c r="D25" s="171"/>
      <c r="E25" s="171">
        <v>860</v>
      </c>
      <c r="F25" s="175">
        <v>44409</v>
      </c>
      <c r="G25" s="116">
        <f>IF(F25="", '4.Escalation'!G$28/'4.Escalation'!D$10, '4.Escalation'!G$28/VLOOKUP(F25,'4.Escalation'!$B$16:$D$27,3,0) )</f>
        <v>1.4128940443907485</v>
      </c>
      <c r="H25" s="116">
        <f>IF($F25="", '4.Escalation'!F$28/'4.Escalation'!C$10, '4.Escalation'!F$28/VLOOKUP(F25,'4.Escalation'!$B$16:$D$27,2,0) )</f>
        <v>1.3151235919899873</v>
      </c>
      <c r="I25" s="48">
        <f t="shared" si="6"/>
        <v>1131.01</v>
      </c>
      <c r="J25" s="45">
        <v>11</v>
      </c>
      <c r="K25" s="45">
        <f t="shared" si="8"/>
        <v>4</v>
      </c>
      <c r="L25" s="46">
        <f t="shared" si="7"/>
        <v>4524.04</v>
      </c>
      <c r="M25" s="178"/>
      <c r="N25" s="174">
        <f>N42</f>
        <v>2</v>
      </c>
      <c r="O25" s="174"/>
      <c r="P25" s="174">
        <f>P42</f>
        <v>2</v>
      </c>
      <c r="Q25" s="174"/>
      <c r="R25" s="174"/>
      <c r="S25" s="174"/>
      <c r="T25" s="174"/>
      <c r="U25" s="174"/>
      <c r="V25" s="174"/>
      <c r="W25" s="174"/>
      <c r="X25" s="174"/>
      <c r="Y25" s="174"/>
      <c r="Z25" s="174"/>
      <c r="AA25" s="174"/>
      <c r="AB25" s="174"/>
      <c r="AC25" s="174"/>
    </row>
    <row r="26" spans="1:29" ht="14.4">
      <c r="A26" s="172" t="s">
        <v>164</v>
      </c>
      <c r="B26" s="173" t="s">
        <v>165</v>
      </c>
      <c r="C26" s="174" t="s">
        <v>76</v>
      </c>
      <c r="D26" s="171"/>
      <c r="E26" s="171">
        <v>640</v>
      </c>
      <c r="F26" s="175">
        <v>44409</v>
      </c>
      <c r="G26" s="116">
        <f>IF(F26="", '4.Escalation'!G$28/'4.Escalation'!D$10, '4.Escalation'!G$28/VLOOKUP(F26,'4.Escalation'!$B$16:$D$27,3,0) )</f>
        <v>1.4128940443907485</v>
      </c>
      <c r="H26" s="116">
        <f>IF($F26="", '4.Escalation'!F$28/'4.Escalation'!C$10, '4.Escalation'!F$28/VLOOKUP(F26,'4.Escalation'!$B$16:$D$27,2,0) )</f>
        <v>1.3151235919899873</v>
      </c>
      <c r="I26" s="48">
        <f t="shared" si="6"/>
        <v>841.68</v>
      </c>
      <c r="J26" s="45">
        <v>49</v>
      </c>
      <c r="K26" s="45">
        <f t="shared" si="8"/>
        <v>19</v>
      </c>
      <c r="L26" s="46">
        <f t="shared" si="7"/>
        <v>15991.919999999998</v>
      </c>
      <c r="M26" s="178"/>
      <c r="N26" s="174">
        <f>N43</f>
        <v>4</v>
      </c>
      <c r="O26" s="174">
        <f>O43</f>
        <v>6</v>
      </c>
      <c r="P26" s="174">
        <f>P43</f>
        <v>4</v>
      </c>
      <c r="Q26" s="174"/>
      <c r="R26" s="174">
        <v>2</v>
      </c>
      <c r="S26" s="174">
        <v>1</v>
      </c>
      <c r="T26" s="174">
        <v>2</v>
      </c>
      <c r="U26" s="174"/>
      <c r="V26" s="174"/>
      <c r="W26" s="174"/>
      <c r="X26" s="174"/>
      <c r="Y26" s="174"/>
      <c r="Z26" s="174"/>
      <c r="AA26" s="174"/>
      <c r="AB26" s="174"/>
      <c r="AC26" s="174"/>
    </row>
    <row r="27" spans="1:29" ht="14.4">
      <c r="A27" s="172" t="s">
        <v>166</v>
      </c>
      <c r="B27" s="173" t="s">
        <v>167</v>
      </c>
      <c r="C27" s="174" t="s">
        <v>76</v>
      </c>
      <c r="D27" s="171"/>
      <c r="E27" s="171">
        <v>2480</v>
      </c>
      <c r="F27" s="175">
        <v>44409</v>
      </c>
      <c r="G27" s="116">
        <f>IF(F27="", '4.Escalation'!G$28/'4.Escalation'!D$10, '4.Escalation'!G$28/VLOOKUP(F27,'4.Escalation'!$B$16:$D$27,3,0) )</f>
        <v>1.4128940443907485</v>
      </c>
      <c r="H27" s="116">
        <f>IF($F27="", '4.Escalation'!F$28/'4.Escalation'!C$10, '4.Escalation'!F$28/VLOOKUP(F27,'4.Escalation'!$B$16:$D$27,2,0) )</f>
        <v>1.3151235919899873</v>
      </c>
      <c r="I27" s="48">
        <f t="shared" si="6"/>
        <v>3261.51</v>
      </c>
      <c r="J27" s="45">
        <v>8</v>
      </c>
      <c r="K27" s="45">
        <f t="shared" si="8"/>
        <v>8</v>
      </c>
      <c r="L27" s="46">
        <f t="shared" si="7"/>
        <v>26092.080000000002</v>
      </c>
      <c r="M27" s="178"/>
      <c r="N27" s="174"/>
      <c r="O27" s="174">
        <v>8</v>
      </c>
      <c r="P27" s="174"/>
      <c r="Q27" s="174"/>
      <c r="R27" s="174"/>
      <c r="S27" s="174"/>
      <c r="T27" s="174"/>
      <c r="U27" s="174"/>
      <c r="V27" s="174"/>
      <c r="W27" s="174"/>
      <c r="X27" s="174"/>
      <c r="Y27" s="174"/>
      <c r="Z27" s="174"/>
      <c r="AA27" s="174"/>
      <c r="AB27" s="174"/>
      <c r="AC27" s="174"/>
    </row>
    <row r="28" spans="1:29" ht="14.4">
      <c r="A28" s="172" t="s">
        <v>168</v>
      </c>
      <c r="B28" s="173" t="s">
        <v>169</v>
      </c>
      <c r="C28" s="174" t="s">
        <v>76</v>
      </c>
      <c r="D28" s="171"/>
      <c r="E28" s="171">
        <v>2250</v>
      </c>
      <c r="F28" s="175">
        <v>44409</v>
      </c>
      <c r="G28" s="116">
        <f>IF(F28="", '4.Escalation'!G$28/'4.Escalation'!D$10, '4.Escalation'!G$28/VLOOKUP(F28,'4.Escalation'!$B$16:$D$27,3,0) )</f>
        <v>1.4128940443907485</v>
      </c>
      <c r="H28" s="116">
        <f>IF($F28="", '4.Escalation'!F$28/'4.Escalation'!C$10, '4.Escalation'!F$28/VLOOKUP(F28,'4.Escalation'!$B$16:$D$27,2,0) )</f>
        <v>1.3151235919899873</v>
      </c>
      <c r="I28" s="48">
        <f t="shared" si="6"/>
        <v>2959.03</v>
      </c>
      <c r="J28" s="45">
        <v>0</v>
      </c>
      <c r="K28" s="45">
        <f t="shared" si="8"/>
        <v>0</v>
      </c>
      <c r="L28" s="46">
        <f t="shared" si="7"/>
        <v>0</v>
      </c>
      <c r="M28" s="178"/>
      <c r="N28" s="174"/>
      <c r="O28" s="180"/>
      <c r="P28" s="174"/>
      <c r="Q28" s="174"/>
      <c r="R28" s="174"/>
      <c r="S28" s="180"/>
      <c r="T28" s="174"/>
      <c r="U28" s="174"/>
      <c r="V28" s="174"/>
      <c r="W28" s="180"/>
      <c r="X28" s="174"/>
      <c r="Y28" s="174"/>
      <c r="Z28" s="174"/>
      <c r="AA28" s="174"/>
      <c r="AB28" s="180"/>
      <c r="AC28" s="174"/>
    </row>
    <row r="29" spans="1:29" ht="14.4">
      <c r="A29" s="172" t="s">
        <v>170</v>
      </c>
      <c r="B29" s="173" t="s">
        <v>171</v>
      </c>
      <c r="C29" s="174" t="s">
        <v>76</v>
      </c>
      <c r="D29" s="171"/>
      <c r="E29" s="171">
        <v>2480</v>
      </c>
      <c r="F29" s="175">
        <v>44409</v>
      </c>
      <c r="G29" s="116">
        <f>IF(F29="", '4.Escalation'!G$28/'4.Escalation'!D$10, '4.Escalation'!G$28/VLOOKUP(F29,'4.Escalation'!$B$16:$D$27,3,0) )</f>
        <v>1.4128940443907485</v>
      </c>
      <c r="H29" s="116">
        <f>IF($F29="", '4.Escalation'!F$28/'4.Escalation'!C$10, '4.Escalation'!F$28/VLOOKUP(F29,'4.Escalation'!$B$16:$D$27,2,0) )</f>
        <v>1.3151235919899873</v>
      </c>
      <c r="I29" s="48">
        <f t="shared" si="6"/>
        <v>3261.51</v>
      </c>
      <c r="J29" s="45">
        <v>8</v>
      </c>
      <c r="K29" s="45">
        <f t="shared" si="8"/>
        <v>8</v>
      </c>
      <c r="L29" s="46">
        <f t="shared" si="7"/>
        <v>26092.080000000002</v>
      </c>
      <c r="M29" s="178"/>
      <c r="N29" s="174"/>
      <c r="O29" s="181">
        <v>2</v>
      </c>
      <c r="P29" s="181"/>
      <c r="Q29" s="181"/>
      <c r="R29" s="181"/>
      <c r="S29" s="181">
        <v>2</v>
      </c>
      <c r="T29" s="181"/>
      <c r="U29" s="181"/>
      <c r="V29" s="181"/>
      <c r="W29" s="181">
        <v>2</v>
      </c>
      <c r="X29" s="181"/>
      <c r="Y29" s="181"/>
      <c r="Z29" s="181"/>
      <c r="AA29" s="181"/>
      <c r="AB29" s="181">
        <v>2</v>
      </c>
      <c r="AC29" s="181"/>
    </row>
    <row r="30" spans="1:29" ht="14.4">
      <c r="A30" s="172" t="s">
        <v>172</v>
      </c>
      <c r="B30" s="173" t="s">
        <v>173</v>
      </c>
      <c r="C30" s="174" t="s">
        <v>76</v>
      </c>
      <c r="D30" s="171"/>
      <c r="E30" s="171">
        <v>14800</v>
      </c>
      <c r="F30" s="175">
        <v>44409</v>
      </c>
      <c r="G30" s="116">
        <f>IF(F30="", '4.Escalation'!G$28/'4.Escalation'!D$10, '4.Escalation'!G$28/VLOOKUP(F30,'4.Escalation'!$B$16:$D$27,3,0) )</f>
        <v>1.4128940443907485</v>
      </c>
      <c r="H30" s="116">
        <f>IF($F30="", '4.Escalation'!F$28/'4.Escalation'!C$10, '4.Escalation'!F$28/VLOOKUP(F30,'4.Escalation'!$B$16:$D$27,2,0) )</f>
        <v>1.3151235919899873</v>
      </c>
      <c r="I30" s="48">
        <f t="shared" si="6"/>
        <v>19463.830000000002</v>
      </c>
      <c r="J30" s="45">
        <v>8</v>
      </c>
      <c r="K30" s="45">
        <f t="shared" si="8"/>
        <v>6</v>
      </c>
      <c r="L30" s="46">
        <f t="shared" si="7"/>
        <v>116782.98000000001</v>
      </c>
      <c r="M30" s="178"/>
      <c r="N30" s="174"/>
      <c r="O30" s="174"/>
      <c r="P30" s="174"/>
      <c r="Q30" s="174"/>
      <c r="R30" s="174"/>
      <c r="S30" s="174"/>
      <c r="T30" s="174"/>
      <c r="U30" s="174"/>
      <c r="V30" s="174"/>
      <c r="W30" s="174"/>
      <c r="X30" s="174"/>
      <c r="Y30" s="174">
        <v>2</v>
      </c>
      <c r="Z30" s="174">
        <v>2</v>
      </c>
      <c r="AA30" s="174"/>
      <c r="AB30" s="174">
        <f>AB47</f>
        <v>2</v>
      </c>
      <c r="AC30" s="174"/>
    </row>
    <row r="31" spans="1:29" ht="14.4">
      <c r="A31" s="172" t="s">
        <v>174</v>
      </c>
      <c r="B31" s="173" t="s">
        <v>175</v>
      </c>
      <c r="C31" s="174" t="s">
        <v>76</v>
      </c>
      <c r="D31" s="171"/>
      <c r="E31" s="171">
        <v>1880</v>
      </c>
      <c r="F31" s="175">
        <v>44409</v>
      </c>
      <c r="G31" s="116">
        <f>IF(F31="", '4.Escalation'!G$28/'4.Escalation'!D$10, '4.Escalation'!G$28/VLOOKUP(F31,'4.Escalation'!$B$16:$D$27,3,0) )</f>
        <v>1.4128940443907485</v>
      </c>
      <c r="H31" s="116">
        <f>IF($F31="", '4.Escalation'!F$28/'4.Escalation'!C$10, '4.Escalation'!F$28/VLOOKUP(F31,'4.Escalation'!$B$16:$D$27,2,0) )</f>
        <v>1.3151235919899873</v>
      </c>
      <c r="I31" s="48">
        <f t="shared" si="6"/>
        <v>2472.4299999999998</v>
      </c>
      <c r="J31" s="45">
        <v>18</v>
      </c>
      <c r="K31" s="45">
        <f t="shared" si="8"/>
        <v>5</v>
      </c>
      <c r="L31" s="46">
        <f t="shared" si="7"/>
        <v>12362.15</v>
      </c>
      <c r="M31" s="178"/>
      <c r="N31" s="174"/>
      <c r="O31" s="174"/>
      <c r="P31" s="174"/>
      <c r="Q31" s="174"/>
      <c r="R31" s="174">
        <v>2</v>
      </c>
      <c r="S31" s="174">
        <v>1</v>
      </c>
      <c r="T31" s="174">
        <v>2</v>
      </c>
      <c r="U31" s="174"/>
      <c r="V31" s="174"/>
      <c r="W31" s="174"/>
      <c r="X31" s="174"/>
      <c r="Y31" s="174"/>
      <c r="Z31" s="174"/>
      <c r="AA31" s="174"/>
      <c r="AB31" s="174"/>
      <c r="AC31" s="174"/>
    </row>
    <row r="32" spans="1:29" ht="14.4">
      <c r="A32" s="172" t="s">
        <v>176</v>
      </c>
      <c r="B32" s="173" t="s">
        <v>499</v>
      </c>
      <c r="C32" s="174" t="s">
        <v>76</v>
      </c>
      <c r="D32" s="171"/>
      <c r="E32" s="171">
        <v>1000</v>
      </c>
      <c r="F32" s="175">
        <v>44409</v>
      </c>
      <c r="G32" s="116">
        <f>IF(F32="", '4.Escalation'!G$28/'4.Escalation'!D$10, '4.Escalation'!G$28/VLOOKUP(F32,'4.Escalation'!$B$16:$D$27,3,0) )</f>
        <v>1.4128940443907485</v>
      </c>
      <c r="H32" s="116">
        <f>IF($F32="", '4.Escalation'!F$28/'4.Escalation'!C$10, '4.Escalation'!F$28/VLOOKUP(F32,'4.Escalation'!$B$16:$D$27,2,0) )</f>
        <v>1.3151235919899873</v>
      </c>
      <c r="I32" s="48">
        <f t="shared" si="6"/>
        <v>1315.12</v>
      </c>
      <c r="J32" s="45">
        <v>4</v>
      </c>
      <c r="K32" s="45">
        <f t="shared" si="8"/>
        <v>0</v>
      </c>
      <c r="L32" s="46">
        <f t="shared" si="7"/>
        <v>0</v>
      </c>
      <c r="M32" s="178"/>
      <c r="N32" s="174"/>
      <c r="O32" s="174"/>
      <c r="P32" s="174"/>
      <c r="Q32" s="174"/>
      <c r="R32" s="174"/>
      <c r="S32" s="174"/>
      <c r="T32" s="174"/>
      <c r="U32" s="174"/>
      <c r="V32" s="174"/>
      <c r="W32" s="174"/>
      <c r="X32" s="174"/>
      <c r="Y32" s="174"/>
      <c r="Z32" s="174"/>
      <c r="AA32" s="174"/>
      <c r="AB32" s="174"/>
      <c r="AC32" s="174"/>
    </row>
    <row r="33" spans="1:29" ht="14.4">
      <c r="A33" s="172" t="s">
        <v>177</v>
      </c>
      <c r="B33" s="173" t="s">
        <v>178</v>
      </c>
      <c r="C33" s="174" t="s">
        <v>76</v>
      </c>
      <c r="D33" s="171"/>
      <c r="E33" s="171">
        <v>880</v>
      </c>
      <c r="F33" s="175">
        <v>44409</v>
      </c>
      <c r="G33" s="116">
        <f>IF(F33="", '4.Escalation'!G$28/'4.Escalation'!D$10, '4.Escalation'!G$28/VLOOKUP(F33,'4.Escalation'!$B$16:$D$27,3,0) )</f>
        <v>1.4128940443907485</v>
      </c>
      <c r="H33" s="116">
        <f>IF($F33="", '4.Escalation'!F$28/'4.Escalation'!C$10, '4.Escalation'!F$28/VLOOKUP(F33,'4.Escalation'!$B$16:$D$27,2,0) )</f>
        <v>1.3151235919899873</v>
      </c>
      <c r="I33" s="48">
        <f t="shared" si="6"/>
        <v>1157.31</v>
      </c>
      <c r="J33" s="45">
        <v>4</v>
      </c>
      <c r="K33" s="45">
        <f t="shared" si="8"/>
        <v>6</v>
      </c>
      <c r="L33" s="46">
        <f t="shared" si="7"/>
        <v>6943.86</v>
      </c>
      <c r="M33" s="178"/>
      <c r="N33" s="174"/>
      <c r="O33" s="174"/>
      <c r="P33" s="174"/>
      <c r="Q33" s="174">
        <v>2</v>
      </c>
      <c r="R33" s="174"/>
      <c r="S33" s="174"/>
      <c r="T33" s="174"/>
      <c r="U33" s="174"/>
      <c r="V33" s="174"/>
      <c r="W33" s="174"/>
      <c r="X33" s="174"/>
      <c r="Y33" s="174">
        <v>2</v>
      </c>
      <c r="Z33" s="174">
        <v>2</v>
      </c>
      <c r="AA33" s="174"/>
      <c r="AB33" s="174"/>
      <c r="AC33" s="174"/>
    </row>
    <row r="34" spans="1:29" ht="14.4">
      <c r="A34" s="172" t="s">
        <v>179</v>
      </c>
      <c r="B34" s="173" t="s">
        <v>180</v>
      </c>
      <c r="C34" s="174" t="s">
        <v>76</v>
      </c>
      <c r="D34" s="171"/>
      <c r="E34" s="171">
        <v>1840</v>
      </c>
      <c r="F34" s="175">
        <v>44409</v>
      </c>
      <c r="G34" s="116">
        <f>IF(F34="", '4.Escalation'!G$28/'4.Escalation'!D$10, '4.Escalation'!G$28/VLOOKUP(F34,'4.Escalation'!$B$16:$D$27,3,0) )</f>
        <v>1.4128940443907485</v>
      </c>
      <c r="H34" s="116">
        <f>IF($F34="", '4.Escalation'!F$28/'4.Escalation'!C$10, '4.Escalation'!F$28/VLOOKUP(F34,'4.Escalation'!$B$16:$D$27,2,0) )</f>
        <v>1.3151235919899873</v>
      </c>
      <c r="I34" s="48">
        <f t="shared" si="6"/>
        <v>2419.83</v>
      </c>
      <c r="J34" s="45">
        <v>0</v>
      </c>
      <c r="K34" s="45">
        <f t="shared" si="8"/>
        <v>0</v>
      </c>
      <c r="L34" s="46">
        <f t="shared" si="7"/>
        <v>0</v>
      </c>
      <c r="M34" s="178"/>
      <c r="N34" s="174"/>
      <c r="O34" s="174"/>
      <c r="P34" s="174"/>
      <c r="Q34" s="174"/>
      <c r="R34" s="174"/>
      <c r="S34" s="174"/>
      <c r="T34" s="174"/>
      <c r="U34" s="174"/>
      <c r="V34" s="174"/>
      <c r="W34" s="174"/>
      <c r="X34" s="174"/>
      <c r="Y34" s="174"/>
      <c r="Z34" s="174"/>
      <c r="AA34" s="174"/>
      <c r="AB34" s="174"/>
      <c r="AC34" s="174"/>
    </row>
    <row r="35" spans="1:29" ht="14.4">
      <c r="A35" s="172" t="s">
        <v>181</v>
      </c>
      <c r="B35" s="173" t="s">
        <v>182</v>
      </c>
      <c r="C35" s="174" t="s">
        <v>76</v>
      </c>
      <c r="D35" s="171"/>
      <c r="E35" s="171">
        <v>16000</v>
      </c>
      <c r="F35" s="175">
        <v>44409</v>
      </c>
      <c r="G35" s="116">
        <f>IF(F35="", '4.Escalation'!G$28/'4.Escalation'!D$10, '4.Escalation'!G$28/VLOOKUP(F35,'4.Escalation'!$B$16:$D$27,3,0) )</f>
        <v>1.4128940443907485</v>
      </c>
      <c r="H35" s="116">
        <f>IF($F35="", '4.Escalation'!F$28/'4.Escalation'!C$10, '4.Escalation'!F$28/VLOOKUP(F35,'4.Escalation'!$B$16:$D$27,2,0) )</f>
        <v>1.3151235919899873</v>
      </c>
      <c r="I35" s="48">
        <f t="shared" si="6"/>
        <v>21041.98</v>
      </c>
      <c r="J35" s="45">
        <v>1</v>
      </c>
      <c r="K35" s="45">
        <f t="shared" si="8"/>
        <v>3</v>
      </c>
      <c r="L35" s="46">
        <f t="shared" si="7"/>
        <v>63125.94</v>
      </c>
      <c r="M35" s="178"/>
      <c r="N35" s="174"/>
      <c r="O35" s="174"/>
      <c r="P35" s="174"/>
      <c r="Q35" s="174">
        <v>1</v>
      </c>
      <c r="R35" s="174"/>
      <c r="S35" s="174"/>
      <c r="T35" s="174"/>
      <c r="U35" s="174"/>
      <c r="V35" s="174"/>
      <c r="W35" s="174"/>
      <c r="X35" s="174"/>
      <c r="Y35" s="174">
        <v>1</v>
      </c>
      <c r="Z35" s="174">
        <v>1</v>
      </c>
      <c r="AA35" s="174"/>
      <c r="AB35" s="174"/>
      <c r="AC35" s="174"/>
    </row>
    <row r="36" spans="1:29">
      <c r="A36" s="172"/>
      <c r="B36" s="173"/>
      <c r="C36" s="174"/>
      <c r="D36" s="171"/>
      <c r="E36" s="171"/>
      <c r="F36" s="171"/>
      <c r="G36" s="44"/>
      <c r="H36" s="44"/>
      <c r="I36" s="48"/>
      <c r="J36" s="45">
        <v>0</v>
      </c>
      <c r="K36" s="45"/>
      <c r="L36" s="46"/>
      <c r="M36" s="178"/>
      <c r="N36" s="174"/>
      <c r="O36" s="174"/>
      <c r="P36" s="174"/>
      <c r="Q36" s="174"/>
      <c r="R36" s="174"/>
      <c r="S36" s="174"/>
      <c r="T36" s="174"/>
      <c r="U36" s="174"/>
      <c r="V36" s="174"/>
      <c r="W36" s="174"/>
      <c r="X36" s="174"/>
      <c r="Y36" s="174"/>
      <c r="Z36" s="174"/>
      <c r="AA36" s="174"/>
      <c r="AB36" s="174"/>
      <c r="AC36" s="172"/>
    </row>
    <row r="37" spans="1:29" ht="26.4">
      <c r="A37" s="172">
        <v>3.2</v>
      </c>
      <c r="B37" s="176" t="s">
        <v>183</v>
      </c>
      <c r="C37" s="174"/>
      <c r="D37" s="171"/>
      <c r="E37" s="171"/>
      <c r="F37" s="171"/>
      <c r="G37" s="44"/>
      <c r="H37" s="44"/>
      <c r="I37" s="48"/>
      <c r="J37" s="45">
        <v>0</v>
      </c>
      <c r="K37" s="45"/>
      <c r="L37" s="46"/>
      <c r="M37" s="178"/>
      <c r="N37" s="174"/>
      <c r="O37" s="174"/>
      <c r="P37" s="174"/>
      <c r="Q37" s="174"/>
      <c r="R37" s="174"/>
      <c r="S37" s="174"/>
      <c r="T37" s="174"/>
      <c r="U37" s="174"/>
      <c r="V37" s="174"/>
      <c r="W37" s="174"/>
      <c r="X37" s="174"/>
      <c r="Y37" s="174"/>
      <c r="Z37" s="174"/>
      <c r="AA37" s="174"/>
      <c r="AB37" s="174"/>
      <c r="AC37" s="172"/>
    </row>
    <row r="38" spans="1:29" ht="14.4">
      <c r="A38" s="172" t="s">
        <v>184</v>
      </c>
      <c r="B38" s="173" t="s">
        <v>155</v>
      </c>
      <c r="C38" s="174" t="s">
        <v>76</v>
      </c>
      <c r="D38" s="171">
        <v>15000</v>
      </c>
      <c r="E38" s="171">
        <v>4000</v>
      </c>
      <c r="F38" s="175">
        <v>44409</v>
      </c>
      <c r="G38" s="116">
        <f>IF(F38="", '4.Escalation'!G$28/'4.Escalation'!D$10, '4.Escalation'!G$28/VLOOKUP(F38,'4.Escalation'!$B$16:$D$27,3,0) )</f>
        <v>1.4128940443907485</v>
      </c>
      <c r="H38" s="116">
        <f>IF($F38="", '4.Escalation'!F$28/'4.Escalation'!C$10, '4.Escalation'!F$28/VLOOKUP(F38,'4.Escalation'!$B$16:$D$27,2,0) )</f>
        <v>1.3151235919899873</v>
      </c>
      <c r="I38" s="48">
        <f t="shared" ref="I38:I52" si="9">ROUND(D38*G38+E38*H38,2)</f>
        <v>26453.91</v>
      </c>
      <c r="J38" s="45">
        <v>8</v>
      </c>
      <c r="K38" s="45">
        <f t="shared" ref="K38:K52" si="10">SUM(M38:AC38)</f>
        <v>5</v>
      </c>
      <c r="L38" s="46">
        <f t="shared" ref="L38:L52" si="11">K38*I38</f>
        <v>132269.54999999999</v>
      </c>
      <c r="M38" s="178"/>
      <c r="N38" s="174"/>
      <c r="O38" s="174"/>
      <c r="P38" s="174"/>
      <c r="Q38" s="174"/>
      <c r="R38" s="174">
        <v>2</v>
      </c>
      <c r="S38" s="174">
        <f>S55</f>
        <v>1</v>
      </c>
      <c r="T38" s="174">
        <v>2</v>
      </c>
      <c r="U38" s="174"/>
      <c r="V38" s="174"/>
      <c r="W38" s="174"/>
      <c r="X38" s="174"/>
      <c r="Y38" s="174"/>
      <c r="Z38" s="174"/>
      <c r="AA38" s="174"/>
      <c r="AB38" s="174"/>
      <c r="AC38" s="174"/>
    </row>
    <row r="39" spans="1:29" ht="14.4">
      <c r="A39" s="172" t="s">
        <v>185</v>
      </c>
      <c r="B39" s="173" t="s">
        <v>157</v>
      </c>
      <c r="C39" s="174" t="s">
        <v>76</v>
      </c>
      <c r="D39" s="171">
        <v>20000</v>
      </c>
      <c r="E39" s="171">
        <v>5000</v>
      </c>
      <c r="F39" s="175">
        <v>44409</v>
      </c>
      <c r="G39" s="116">
        <f>IF(F39="", '4.Escalation'!G$28/'4.Escalation'!D$10, '4.Escalation'!G$28/VLOOKUP(F39,'4.Escalation'!$B$16:$D$27,3,0) )</f>
        <v>1.4128940443907485</v>
      </c>
      <c r="H39" s="116">
        <f>IF($F39="", '4.Escalation'!F$28/'4.Escalation'!C$10, '4.Escalation'!F$28/VLOOKUP(F39,'4.Escalation'!$B$16:$D$27,2,0) )</f>
        <v>1.3151235919899873</v>
      </c>
      <c r="I39" s="48">
        <f t="shared" si="9"/>
        <v>34833.5</v>
      </c>
      <c r="J39" s="45">
        <v>12</v>
      </c>
      <c r="K39" s="45">
        <f t="shared" si="10"/>
        <v>5</v>
      </c>
      <c r="L39" s="46">
        <f t="shared" si="11"/>
        <v>174167.5</v>
      </c>
      <c r="M39" s="178"/>
      <c r="N39" s="174">
        <f>N56</f>
        <v>2</v>
      </c>
      <c r="O39" s="174">
        <f>O56</f>
        <v>1</v>
      </c>
      <c r="P39" s="174">
        <v>2</v>
      </c>
      <c r="Q39" s="174"/>
      <c r="R39" s="174"/>
      <c r="S39" s="174"/>
      <c r="T39" s="174"/>
      <c r="U39" s="174"/>
      <c r="V39" s="174"/>
      <c r="W39" s="174"/>
      <c r="X39" s="174"/>
      <c r="Y39" s="174"/>
      <c r="Z39" s="174"/>
      <c r="AA39" s="174"/>
      <c r="AB39" s="174"/>
      <c r="AC39" s="174"/>
    </row>
    <row r="40" spans="1:29" ht="14.4">
      <c r="A40" s="172" t="s">
        <v>186</v>
      </c>
      <c r="B40" s="173" t="s">
        <v>187</v>
      </c>
      <c r="C40" s="174" t="s">
        <v>76</v>
      </c>
      <c r="D40" s="171">
        <v>6000</v>
      </c>
      <c r="E40" s="171">
        <v>2500</v>
      </c>
      <c r="F40" s="175">
        <v>44409</v>
      </c>
      <c r="G40" s="116">
        <f>IF(F40="", '4.Escalation'!G$28/'4.Escalation'!D$10, '4.Escalation'!G$28/VLOOKUP(F40,'4.Escalation'!$B$16:$D$27,3,0) )</f>
        <v>1.4128940443907485</v>
      </c>
      <c r="H40" s="116">
        <f>IF($F40="", '4.Escalation'!F$28/'4.Escalation'!C$10, '4.Escalation'!F$28/VLOOKUP(F40,'4.Escalation'!$B$16:$D$27,2,0) )</f>
        <v>1.3151235919899873</v>
      </c>
      <c r="I40" s="48">
        <f t="shared" si="9"/>
        <v>11765.17</v>
      </c>
      <c r="J40" s="45">
        <v>0</v>
      </c>
      <c r="K40" s="45">
        <f t="shared" si="10"/>
        <v>0</v>
      </c>
      <c r="L40" s="46">
        <f t="shared" si="11"/>
        <v>0</v>
      </c>
      <c r="M40" s="178"/>
      <c r="N40" s="174"/>
      <c r="O40" s="174"/>
      <c r="P40" s="174"/>
      <c r="Q40" s="174"/>
      <c r="R40" s="174"/>
      <c r="S40" s="174"/>
      <c r="T40" s="174"/>
      <c r="U40" s="174"/>
      <c r="V40" s="174"/>
      <c r="W40" s="174"/>
      <c r="X40" s="174"/>
      <c r="Y40" s="174"/>
      <c r="Z40" s="174"/>
      <c r="AA40" s="174"/>
      <c r="AB40" s="174"/>
      <c r="AC40" s="174"/>
    </row>
    <row r="41" spans="1:29" ht="14.4">
      <c r="A41" s="172" t="s">
        <v>188</v>
      </c>
      <c r="B41" s="173" t="s">
        <v>189</v>
      </c>
      <c r="C41" s="174" t="s">
        <v>76</v>
      </c>
      <c r="D41" s="171">
        <v>9500</v>
      </c>
      <c r="E41" s="171">
        <v>4500</v>
      </c>
      <c r="F41" s="175">
        <v>44409</v>
      </c>
      <c r="G41" s="116">
        <f>IF(F41="", '4.Escalation'!G$28/'4.Escalation'!D$10, '4.Escalation'!G$28/VLOOKUP(F41,'4.Escalation'!$B$16:$D$27,3,0) )</f>
        <v>1.4128940443907485</v>
      </c>
      <c r="H41" s="116">
        <f>IF($F41="", '4.Escalation'!F$28/'4.Escalation'!C$10, '4.Escalation'!F$28/VLOOKUP(F41,'4.Escalation'!$B$16:$D$27,2,0) )</f>
        <v>1.3151235919899873</v>
      </c>
      <c r="I41" s="48">
        <f t="shared" si="9"/>
        <v>19340.55</v>
      </c>
      <c r="J41" s="45">
        <v>20</v>
      </c>
      <c r="K41" s="45">
        <f t="shared" si="10"/>
        <v>12</v>
      </c>
      <c r="L41" s="46">
        <f t="shared" si="11"/>
        <v>232086.59999999998</v>
      </c>
      <c r="M41" s="178"/>
      <c r="N41" s="174">
        <f>N58</f>
        <v>4</v>
      </c>
      <c r="O41" s="174">
        <f>O58</f>
        <v>6</v>
      </c>
      <c r="P41" s="174">
        <f>P58</f>
        <v>2</v>
      </c>
      <c r="Q41" s="174"/>
      <c r="R41" s="174"/>
      <c r="S41" s="174"/>
      <c r="T41" s="174"/>
      <c r="U41" s="174"/>
      <c r="V41" s="174"/>
      <c r="W41" s="174"/>
      <c r="X41" s="174"/>
      <c r="Y41" s="174"/>
      <c r="Z41" s="174"/>
      <c r="AA41" s="174"/>
      <c r="AB41" s="174"/>
      <c r="AC41" s="174"/>
    </row>
    <row r="42" spans="1:29" ht="14.4">
      <c r="A42" s="172" t="s">
        <v>190</v>
      </c>
      <c r="B42" s="173" t="s">
        <v>163</v>
      </c>
      <c r="C42" s="174" t="s">
        <v>76</v>
      </c>
      <c r="D42" s="171">
        <v>8000</v>
      </c>
      <c r="E42" s="171">
        <v>3000</v>
      </c>
      <c r="F42" s="175">
        <v>44409</v>
      </c>
      <c r="G42" s="116">
        <f>IF(F42="", '4.Escalation'!G$28/'4.Escalation'!D$10, '4.Escalation'!G$28/VLOOKUP(F42,'4.Escalation'!$B$16:$D$27,3,0) )</f>
        <v>1.4128940443907485</v>
      </c>
      <c r="H42" s="116">
        <f>IF($F42="", '4.Escalation'!F$28/'4.Escalation'!C$10, '4.Escalation'!F$28/VLOOKUP(F42,'4.Escalation'!$B$16:$D$27,2,0) )</f>
        <v>1.3151235919899873</v>
      </c>
      <c r="I42" s="48">
        <f t="shared" si="9"/>
        <v>15248.52</v>
      </c>
      <c r="J42" s="45">
        <v>11</v>
      </c>
      <c r="K42" s="45">
        <f t="shared" si="10"/>
        <v>4</v>
      </c>
      <c r="L42" s="46">
        <f t="shared" si="11"/>
        <v>60994.080000000002</v>
      </c>
      <c r="M42" s="178"/>
      <c r="N42" s="174">
        <f>N59</f>
        <v>2</v>
      </c>
      <c r="O42" s="174"/>
      <c r="P42" s="174">
        <f>P59</f>
        <v>2</v>
      </c>
      <c r="Q42" s="174"/>
      <c r="R42" s="174"/>
      <c r="S42" s="174"/>
      <c r="T42" s="174"/>
      <c r="U42" s="174"/>
      <c r="V42" s="174"/>
      <c r="W42" s="174"/>
      <c r="X42" s="174"/>
      <c r="Y42" s="174"/>
      <c r="Z42" s="174"/>
      <c r="AA42" s="174"/>
      <c r="AB42" s="174"/>
      <c r="AC42" s="174"/>
    </row>
    <row r="43" spans="1:29" ht="14.4">
      <c r="A43" s="172" t="s">
        <v>191</v>
      </c>
      <c r="B43" s="173" t="s">
        <v>165</v>
      </c>
      <c r="C43" s="174" t="s">
        <v>76</v>
      </c>
      <c r="D43" s="171">
        <v>6000</v>
      </c>
      <c r="E43" s="171">
        <v>3500</v>
      </c>
      <c r="F43" s="175">
        <v>44409</v>
      </c>
      <c r="G43" s="116">
        <f>IF(F43="", '4.Escalation'!G$28/'4.Escalation'!D$10, '4.Escalation'!G$28/VLOOKUP(F43,'4.Escalation'!$B$16:$D$27,3,0) )</f>
        <v>1.4128940443907485</v>
      </c>
      <c r="H43" s="116">
        <f>IF($F43="", '4.Escalation'!F$28/'4.Escalation'!C$10, '4.Escalation'!F$28/VLOOKUP(F43,'4.Escalation'!$B$16:$D$27,2,0) )</f>
        <v>1.3151235919899873</v>
      </c>
      <c r="I43" s="48">
        <f t="shared" si="9"/>
        <v>13080.3</v>
      </c>
      <c r="J43" s="45">
        <v>49</v>
      </c>
      <c r="K43" s="45">
        <f t="shared" si="10"/>
        <v>19</v>
      </c>
      <c r="L43" s="46">
        <f t="shared" si="11"/>
        <v>248525.69999999998</v>
      </c>
      <c r="M43" s="178"/>
      <c r="N43" s="174">
        <f>N60</f>
        <v>4</v>
      </c>
      <c r="O43" s="174">
        <f>O60</f>
        <v>6</v>
      </c>
      <c r="P43" s="174">
        <f>P60</f>
        <v>4</v>
      </c>
      <c r="Q43" s="174"/>
      <c r="R43" s="174">
        <v>2</v>
      </c>
      <c r="S43" s="174">
        <v>1</v>
      </c>
      <c r="T43" s="174">
        <v>2</v>
      </c>
      <c r="U43" s="174"/>
      <c r="V43" s="174"/>
      <c r="W43" s="174"/>
      <c r="X43" s="174"/>
      <c r="Y43" s="174"/>
      <c r="Z43" s="174"/>
      <c r="AA43" s="174"/>
      <c r="AB43" s="174"/>
      <c r="AC43" s="174"/>
    </row>
    <row r="44" spans="1:29" ht="14.4">
      <c r="A44" s="172" t="s">
        <v>192</v>
      </c>
      <c r="B44" s="173" t="s">
        <v>167</v>
      </c>
      <c r="C44" s="174" t="s">
        <v>76</v>
      </c>
      <c r="D44" s="171">
        <v>28000</v>
      </c>
      <c r="E44" s="171">
        <v>6000</v>
      </c>
      <c r="F44" s="175">
        <v>44409</v>
      </c>
      <c r="G44" s="116">
        <f>IF(F44="", '4.Escalation'!G$28/'4.Escalation'!D$10, '4.Escalation'!G$28/VLOOKUP(F44,'4.Escalation'!$B$16:$D$27,3,0) )</f>
        <v>1.4128940443907485</v>
      </c>
      <c r="H44" s="116">
        <f>IF($F44="", '4.Escalation'!F$28/'4.Escalation'!C$10, '4.Escalation'!F$28/VLOOKUP(F44,'4.Escalation'!$B$16:$D$27,2,0) )</f>
        <v>1.3151235919899873</v>
      </c>
      <c r="I44" s="48">
        <f t="shared" si="9"/>
        <v>47451.77</v>
      </c>
      <c r="J44" s="45">
        <v>8</v>
      </c>
      <c r="K44" s="45">
        <f t="shared" si="10"/>
        <v>8</v>
      </c>
      <c r="L44" s="46">
        <f t="shared" si="11"/>
        <v>379614.16</v>
      </c>
      <c r="M44" s="178"/>
      <c r="N44" s="174"/>
      <c r="O44" s="174">
        <v>8</v>
      </c>
      <c r="P44" s="174"/>
      <c r="Q44" s="174"/>
      <c r="R44" s="174"/>
      <c r="S44" s="174"/>
      <c r="T44" s="174"/>
      <c r="U44" s="174"/>
      <c r="V44" s="174"/>
      <c r="W44" s="174"/>
      <c r="X44" s="174"/>
      <c r="Y44" s="174"/>
      <c r="Z44" s="174"/>
      <c r="AA44" s="174"/>
      <c r="AB44" s="174"/>
      <c r="AC44" s="174"/>
    </row>
    <row r="45" spans="1:29" ht="14.4">
      <c r="A45" s="172" t="s">
        <v>193</v>
      </c>
      <c r="B45" s="173" t="s">
        <v>169</v>
      </c>
      <c r="C45" s="174" t="s">
        <v>76</v>
      </c>
      <c r="D45" s="171">
        <v>13000</v>
      </c>
      <c r="E45" s="171">
        <v>4000</v>
      </c>
      <c r="F45" s="175">
        <v>44409</v>
      </c>
      <c r="G45" s="116">
        <f>IF(F45="", '4.Escalation'!G$28/'4.Escalation'!D$10, '4.Escalation'!G$28/VLOOKUP(F45,'4.Escalation'!$B$16:$D$27,3,0) )</f>
        <v>1.4128940443907485</v>
      </c>
      <c r="H45" s="116">
        <f>IF($F45="", '4.Escalation'!F$28/'4.Escalation'!C$10, '4.Escalation'!F$28/VLOOKUP(F45,'4.Escalation'!$B$16:$D$27,2,0) )</f>
        <v>1.3151235919899873</v>
      </c>
      <c r="I45" s="48">
        <f t="shared" si="9"/>
        <v>23628.12</v>
      </c>
      <c r="J45" s="45">
        <v>0</v>
      </c>
      <c r="K45" s="45">
        <f t="shared" si="10"/>
        <v>0</v>
      </c>
      <c r="L45" s="46">
        <f t="shared" si="11"/>
        <v>0</v>
      </c>
      <c r="M45" s="178"/>
      <c r="N45" s="174"/>
      <c r="O45" s="180"/>
      <c r="P45" s="174"/>
      <c r="Q45" s="174"/>
      <c r="R45" s="174"/>
      <c r="S45" s="180"/>
      <c r="T45" s="174"/>
      <c r="U45" s="174"/>
      <c r="V45" s="174"/>
      <c r="W45" s="180"/>
      <c r="X45" s="174"/>
      <c r="Y45" s="174"/>
      <c r="Z45" s="174"/>
      <c r="AA45" s="174"/>
      <c r="AB45" s="180"/>
      <c r="AC45" s="174"/>
    </row>
    <row r="46" spans="1:29" ht="14.4">
      <c r="A46" s="172" t="s">
        <v>194</v>
      </c>
      <c r="B46" s="173" t="s">
        <v>171</v>
      </c>
      <c r="C46" s="174" t="s">
        <v>76</v>
      </c>
      <c r="D46" s="171">
        <v>28000</v>
      </c>
      <c r="E46" s="171">
        <v>6000</v>
      </c>
      <c r="F46" s="175">
        <v>44409</v>
      </c>
      <c r="G46" s="116">
        <f>IF(F46="", '4.Escalation'!G$28/'4.Escalation'!D$10, '4.Escalation'!G$28/VLOOKUP(F46,'4.Escalation'!$B$16:$D$27,3,0) )</f>
        <v>1.4128940443907485</v>
      </c>
      <c r="H46" s="116">
        <f>IF($F46="", '4.Escalation'!F$28/'4.Escalation'!C$10, '4.Escalation'!F$28/VLOOKUP(F46,'4.Escalation'!$B$16:$D$27,2,0) )</f>
        <v>1.3151235919899873</v>
      </c>
      <c r="I46" s="48">
        <f t="shared" si="9"/>
        <v>47451.77</v>
      </c>
      <c r="J46" s="45">
        <v>8</v>
      </c>
      <c r="K46" s="45">
        <f t="shared" si="10"/>
        <v>8</v>
      </c>
      <c r="L46" s="46">
        <f t="shared" si="11"/>
        <v>379614.16</v>
      </c>
      <c r="M46" s="178"/>
      <c r="N46" s="174"/>
      <c r="O46" s="181">
        <v>2</v>
      </c>
      <c r="P46" s="181"/>
      <c r="Q46" s="181"/>
      <c r="R46" s="181"/>
      <c r="S46" s="181">
        <v>2</v>
      </c>
      <c r="T46" s="181"/>
      <c r="U46" s="181"/>
      <c r="V46" s="181"/>
      <c r="W46" s="181">
        <v>2</v>
      </c>
      <c r="X46" s="181"/>
      <c r="Y46" s="181"/>
      <c r="Z46" s="181"/>
      <c r="AA46" s="181"/>
      <c r="AB46" s="181">
        <v>2</v>
      </c>
      <c r="AC46" s="181"/>
    </row>
    <row r="47" spans="1:29" ht="14.4">
      <c r="A47" s="172" t="s">
        <v>195</v>
      </c>
      <c r="B47" s="173" t="s">
        <v>173</v>
      </c>
      <c r="C47" s="174" t="s">
        <v>76</v>
      </c>
      <c r="D47" s="171">
        <v>150000</v>
      </c>
      <c r="E47" s="171">
        <v>35000</v>
      </c>
      <c r="F47" s="175">
        <v>44409</v>
      </c>
      <c r="G47" s="116">
        <f>IF(F47="", '4.Escalation'!G$28/'4.Escalation'!D$10, '4.Escalation'!G$28/VLOOKUP(F47,'4.Escalation'!$B$16:$D$27,3,0) )</f>
        <v>1.4128940443907485</v>
      </c>
      <c r="H47" s="116">
        <f>IF($F47="", '4.Escalation'!F$28/'4.Escalation'!C$10, '4.Escalation'!F$28/VLOOKUP(F47,'4.Escalation'!$B$16:$D$27,2,0) )</f>
        <v>1.3151235919899873</v>
      </c>
      <c r="I47" s="48">
        <f t="shared" si="9"/>
        <v>257963.43</v>
      </c>
      <c r="J47" s="45">
        <v>8</v>
      </c>
      <c r="K47" s="45">
        <f t="shared" si="10"/>
        <v>6</v>
      </c>
      <c r="L47" s="46">
        <f t="shared" si="11"/>
        <v>1547780.58</v>
      </c>
      <c r="M47" s="178"/>
      <c r="N47" s="174"/>
      <c r="O47" s="174"/>
      <c r="P47" s="174"/>
      <c r="Q47" s="174"/>
      <c r="R47" s="174"/>
      <c r="S47" s="174"/>
      <c r="T47" s="174"/>
      <c r="U47" s="174"/>
      <c r="V47" s="174"/>
      <c r="W47" s="174"/>
      <c r="X47" s="174"/>
      <c r="Y47" s="174">
        <v>2</v>
      </c>
      <c r="Z47" s="174">
        <v>2</v>
      </c>
      <c r="AA47" s="174"/>
      <c r="AB47" s="174">
        <f>AB64</f>
        <v>2</v>
      </c>
      <c r="AC47" s="174"/>
    </row>
    <row r="48" spans="1:29" ht="14.4">
      <c r="A48" s="172" t="s">
        <v>196</v>
      </c>
      <c r="B48" s="173" t="s">
        <v>197</v>
      </c>
      <c r="C48" s="174" t="s">
        <v>76</v>
      </c>
      <c r="D48" s="171">
        <v>6000</v>
      </c>
      <c r="E48" s="171">
        <v>2500</v>
      </c>
      <c r="F48" s="175">
        <v>44409</v>
      </c>
      <c r="G48" s="116">
        <f>IF(F48="", '4.Escalation'!G$28/'4.Escalation'!D$10, '4.Escalation'!G$28/VLOOKUP(F48,'4.Escalation'!$B$16:$D$27,3,0) )</f>
        <v>1.4128940443907485</v>
      </c>
      <c r="H48" s="116">
        <f>IF($F48="", '4.Escalation'!F$28/'4.Escalation'!C$10, '4.Escalation'!F$28/VLOOKUP(F48,'4.Escalation'!$B$16:$D$27,2,0) )</f>
        <v>1.3151235919899873</v>
      </c>
      <c r="I48" s="48">
        <f t="shared" si="9"/>
        <v>11765.17</v>
      </c>
      <c r="J48" s="45">
        <v>18</v>
      </c>
      <c r="K48" s="45">
        <f t="shared" si="10"/>
        <v>5</v>
      </c>
      <c r="L48" s="46">
        <f t="shared" si="11"/>
        <v>58825.85</v>
      </c>
      <c r="M48" s="178"/>
      <c r="N48" s="174"/>
      <c r="O48" s="174"/>
      <c r="P48" s="174"/>
      <c r="Q48" s="174"/>
      <c r="R48" s="174">
        <v>2</v>
      </c>
      <c r="S48" s="174">
        <v>1</v>
      </c>
      <c r="T48" s="174">
        <v>2</v>
      </c>
      <c r="U48" s="174"/>
      <c r="V48" s="174"/>
      <c r="W48" s="174"/>
      <c r="X48" s="174"/>
      <c r="Y48" s="174"/>
      <c r="Z48" s="174"/>
      <c r="AA48" s="174"/>
      <c r="AB48" s="174"/>
      <c r="AC48" s="174"/>
    </row>
    <row r="49" spans="1:29" ht="14.4">
      <c r="A49" s="172" t="s">
        <v>198</v>
      </c>
      <c r="B49" s="173" t="s">
        <v>499</v>
      </c>
      <c r="C49" s="174" t="s">
        <v>76</v>
      </c>
      <c r="D49" s="171">
        <v>18000</v>
      </c>
      <c r="E49" s="171">
        <v>5000</v>
      </c>
      <c r="F49" s="175">
        <v>44409</v>
      </c>
      <c r="G49" s="116">
        <f>IF(F49="", '4.Escalation'!G$28/'4.Escalation'!D$10, '4.Escalation'!G$28/VLOOKUP(F49,'4.Escalation'!$B$16:$D$27,3,0) )</f>
        <v>1.4128940443907485</v>
      </c>
      <c r="H49" s="116">
        <f>IF($F49="", '4.Escalation'!F$28/'4.Escalation'!C$10, '4.Escalation'!F$28/VLOOKUP(F49,'4.Escalation'!$B$16:$D$27,2,0) )</f>
        <v>1.3151235919899873</v>
      </c>
      <c r="I49" s="48">
        <f t="shared" si="9"/>
        <v>32007.71</v>
      </c>
      <c r="J49" s="45">
        <v>4</v>
      </c>
      <c r="K49" s="45">
        <f t="shared" si="10"/>
        <v>0</v>
      </c>
      <c r="L49" s="46">
        <f t="shared" si="11"/>
        <v>0</v>
      </c>
      <c r="M49" s="178"/>
      <c r="N49" s="174"/>
      <c r="O49" s="174"/>
      <c r="P49" s="174"/>
      <c r="Q49" s="174"/>
      <c r="R49" s="174"/>
      <c r="S49" s="174"/>
      <c r="T49" s="174"/>
      <c r="U49" s="174"/>
      <c r="V49" s="174"/>
      <c r="W49" s="174"/>
      <c r="X49" s="174"/>
      <c r="Y49" s="174"/>
      <c r="Z49" s="174"/>
      <c r="AA49" s="174"/>
      <c r="AB49" s="174"/>
      <c r="AC49" s="174"/>
    </row>
    <row r="50" spans="1:29" ht="14.4">
      <c r="A50" s="172" t="s">
        <v>199</v>
      </c>
      <c r="B50" s="173" t="s">
        <v>178</v>
      </c>
      <c r="C50" s="174" t="s">
        <v>76</v>
      </c>
      <c r="D50" s="171">
        <v>8000</v>
      </c>
      <c r="E50" s="171">
        <v>3000</v>
      </c>
      <c r="F50" s="175">
        <v>44409</v>
      </c>
      <c r="G50" s="116">
        <f>IF(F50="", '4.Escalation'!G$28/'4.Escalation'!D$10, '4.Escalation'!G$28/VLOOKUP(F50,'4.Escalation'!$B$16:$D$27,3,0) )</f>
        <v>1.4128940443907485</v>
      </c>
      <c r="H50" s="116">
        <f>IF($F50="", '4.Escalation'!F$28/'4.Escalation'!C$10, '4.Escalation'!F$28/VLOOKUP(F50,'4.Escalation'!$B$16:$D$27,2,0) )</f>
        <v>1.3151235919899873</v>
      </c>
      <c r="I50" s="48">
        <f t="shared" si="9"/>
        <v>15248.52</v>
      </c>
      <c r="J50" s="45">
        <v>4</v>
      </c>
      <c r="K50" s="45">
        <f t="shared" si="10"/>
        <v>6</v>
      </c>
      <c r="L50" s="46">
        <f t="shared" si="11"/>
        <v>91491.12</v>
      </c>
      <c r="M50" s="178"/>
      <c r="N50" s="174"/>
      <c r="O50" s="174"/>
      <c r="P50" s="174"/>
      <c r="Q50" s="174">
        <v>2</v>
      </c>
      <c r="R50" s="174"/>
      <c r="S50" s="174"/>
      <c r="T50" s="174"/>
      <c r="U50" s="174"/>
      <c r="V50" s="174"/>
      <c r="W50" s="174"/>
      <c r="X50" s="174"/>
      <c r="Y50" s="174">
        <v>2</v>
      </c>
      <c r="Z50" s="174">
        <v>2</v>
      </c>
      <c r="AA50" s="174"/>
      <c r="AB50" s="174"/>
      <c r="AC50" s="174"/>
    </row>
    <row r="51" spans="1:29" ht="14.4">
      <c r="A51" s="172" t="s">
        <v>200</v>
      </c>
      <c r="B51" s="173" t="s">
        <v>180</v>
      </c>
      <c r="C51" s="174" t="s">
        <v>76</v>
      </c>
      <c r="D51" s="171">
        <v>6000</v>
      </c>
      <c r="E51" s="171">
        <v>2500</v>
      </c>
      <c r="F51" s="175">
        <v>44409</v>
      </c>
      <c r="G51" s="116">
        <f>IF(F51="", '4.Escalation'!G$28/'4.Escalation'!D$10, '4.Escalation'!G$28/VLOOKUP(F51,'4.Escalation'!$B$16:$D$27,3,0) )</f>
        <v>1.4128940443907485</v>
      </c>
      <c r="H51" s="116">
        <f>IF($F51="", '4.Escalation'!F$28/'4.Escalation'!C$10, '4.Escalation'!F$28/VLOOKUP(F51,'4.Escalation'!$B$16:$D$27,2,0) )</f>
        <v>1.3151235919899873</v>
      </c>
      <c r="I51" s="48">
        <f t="shared" si="9"/>
        <v>11765.17</v>
      </c>
      <c r="J51" s="45">
        <v>0</v>
      </c>
      <c r="K51" s="45">
        <f t="shared" si="10"/>
        <v>0</v>
      </c>
      <c r="L51" s="46">
        <f t="shared" si="11"/>
        <v>0</v>
      </c>
      <c r="M51" s="178"/>
      <c r="N51" s="174"/>
      <c r="O51" s="174"/>
      <c r="P51" s="174"/>
      <c r="Q51" s="174"/>
      <c r="R51" s="174"/>
      <c r="S51" s="174"/>
      <c r="T51" s="174"/>
      <c r="U51" s="174"/>
      <c r="V51" s="174"/>
      <c r="W51" s="174"/>
      <c r="X51" s="174"/>
      <c r="Y51" s="174"/>
      <c r="Z51" s="174"/>
      <c r="AA51" s="174"/>
      <c r="AB51" s="174"/>
      <c r="AC51" s="174"/>
    </row>
    <row r="52" spans="1:29" ht="14.4">
      <c r="A52" s="172" t="s">
        <v>201</v>
      </c>
      <c r="B52" s="173" t="s">
        <v>182</v>
      </c>
      <c r="C52" s="174" t="s">
        <v>76</v>
      </c>
      <c r="D52" s="171">
        <v>160000</v>
      </c>
      <c r="E52" s="171">
        <v>40000</v>
      </c>
      <c r="F52" s="175">
        <v>44409</v>
      </c>
      <c r="G52" s="116">
        <f>IF(F52="", '4.Escalation'!G$28/'4.Escalation'!D$10, '4.Escalation'!G$28/VLOOKUP(F52,'4.Escalation'!$B$16:$D$27,3,0) )</f>
        <v>1.4128940443907485</v>
      </c>
      <c r="H52" s="116">
        <f>IF($F52="", '4.Escalation'!F$28/'4.Escalation'!C$10, '4.Escalation'!F$28/VLOOKUP(F52,'4.Escalation'!$B$16:$D$27,2,0) )</f>
        <v>1.3151235919899873</v>
      </c>
      <c r="I52" s="48">
        <f t="shared" si="9"/>
        <v>278667.99</v>
      </c>
      <c r="J52" s="45">
        <v>1</v>
      </c>
      <c r="K52" s="45">
        <f t="shared" si="10"/>
        <v>2</v>
      </c>
      <c r="L52" s="46">
        <f t="shared" si="11"/>
        <v>557335.98</v>
      </c>
      <c r="M52" s="178"/>
      <c r="N52" s="174"/>
      <c r="O52" s="174"/>
      <c r="P52" s="174"/>
      <c r="Q52" s="174">
        <v>1</v>
      </c>
      <c r="R52" s="174"/>
      <c r="S52" s="174"/>
      <c r="T52" s="174"/>
      <c r="U52" s="174"/>
      <c r="V52" s="174"/>
      <c r="W52" s="174"/>
      <c r="X52" s="174"/>
      <c r="Y52" s="174">
        <v>0.5</v>
      </c>
      <c r="Z52" s="174">
        <v>0.5</v>
      </c>
      <c r="AA52" s="174"/>
      <c r="AB52" s="174"/>
      <c r="AC52" s="174"/>
    </row>
    <row r="53" spans="1:29">
      <c r="A53" s="172"/>
      <c r="B53" s="173"/>
      <c r="C53" s="174"/>
      <c r="D53" s="171"/>
      <c r="E53" s="171"/>
      <c r="F53" s="171"/>
      <c r="G53" s="44"/>
      <c r="H53" s="44"/>
      <c r="I53" s="48"/>
      <c r="J53" s="45">
        <v>0</v>
      </c>
      <c r="K53" s="45"/>
      <c r="L53" s="46"/>
      <c r="M53" s="178"/>
      <c r="N53" s="174"/>
      <c r="O53" s="174"/>
      <c r="P53" s="174"/>
      <c r="Q53" s="174"/>
      <c r="R53" s="174"/>
      <c r="S53" s="174"/>
      <c r="T53" s="174"/>
      <c r="U53" s="174"/>
      <c r="V53" s="174"/>
      <c r="W53" s="174"/>
      <c r="X53" s="174"/>
      <c r="Y53" s="174"/>
      <c r="Z53" s="174"/>
      <c r="AA53" s="174"/>
      <c r="AB53" s="174"/>
      <c r="AC53" s="172"/>
    </row>
    <row r="54" spans="1:29">
      <c r="A54" s="172">
        <v>3.3</v>
      </c>
      <c r="B54" s="176" t="s">
        <v>202</v>
      </c>
      <c r="C54" s="174"/>
      <c r="D54" s="171"/>
      <c r="E54" s="171"/>
      <c r="F54" s="171"/>
      <c r="G54" s="44"/>
      <c r="H54" s="44"/>
      <c r="I54" s="48"/>
      <c r="J54" s="45">
        <v>0</v>
      </c>
      <c r="K54" s="45"/>
      <c r="L54" s="46"/>
      <c r="M54" s="178"/>
      <c r="N54" s="174"/>
      <c r="O54" s="174"/>
      <c r="P54" s="174"/>
      <c r="Q54" s="174"/>
      <c r="R54" s="174"/>
      <c r="S54" s="174"/>
      <c r="T54" s="174"/>
      <c r="U54" s="174"/>
      <c r="V54" s="174"/>
      <c r="W54" s="174"/>
      <c r="X54" s="174"/>
      <c r="Y54" s="174"/>
      <c r="Z54" s="174"/>
      <c r="AA54" s="174"/>
      <c r="AB54" s="174"/>
      <c r="AC54" s="172"/>
    </row>
    <row r="55" spans="1:29" ht="14.4">
      <c r="A55" s="172" t="s">
        <v>203</v>
      </c>
      <c r="B55" s="173" t="s">
        <v>155</v>
      </c>
      <c r="C55" s="174" t="s">
        <v>76</v>
      </c>
      <c r="D55" s="171">
        <v>10000</v>
      </c>
      <c r="E55" s="171">
        <v>1500</v>
      </c>
      <c r="F55" s="175">
        <v>44409</v>
      </c>
      <c r="G55" s="116">
        <f>IF(F55="", '4.Escalation'!G$28/'4.Escalation'!D$10, '4.Escalation'!G$28/VLOOKUP(F55,'4.Escalation'!$B$16:$D$27,3,0) )</f>
        <v>1.4128940443907485</v>
      </c>
      <c r="H55" s="116">
        <f>IF($F55="", '4.Escalation'!F$28/'4.Escalation'!C$10, '4.Escalation'!F$28/VLOOKUP(F55,'4.Escalation'!$B$16:$D$27,2,0) )</f>
        <v>1.3151235919899873</v>
      </c>
      <c r="I55" s="48">
        <f t="shared" ref="I55:I68" si="12">ROUND(D55*G55+E55*H55,2)</f>
        <v>16101.63</v>
      </c>
      <c r="J55" s="45">
        <v>8</v>
      </c>
      <c r="K55" s="45">
        <f t="shared" ref="K55:K68" si="13">SUM(M55:AC55)</f>
        <v>5</v>
      </c>
      <c r="L55" s="46">
        <f t="shared" ref="L55:L68" si="14">K55*I55</f>
        <v>80508.149999999994</v>
      </c>
      <c r="M55" s="178"/>
      <c r="N55" s="174"/>
      <c r="O55" s="174"/>
      <c r="P55" s="174"/>
      <c r="Q55" s="174"/>
      <c r="R55" s="174">
        <v>2</v>
      </c>
      <c r="S55" s="174">
        <f>S74</f>
        <v>1</v>
      </c>
      <c r="T55" s="174">
        <v>2</v>
      </c>
      <c r="U55" s="174"/>
      <c r="V55" s="174"/>
      <c r="W55" s="174"/>
      <c r="X55" s="174"/>
      <c r="Y55" s="174"/>
      <c r="Z55" s="174"/>
      <c r="AA55" s="174"/>
      <c r="AB55" s="174"/>
      <c r="AC55" s="174"/>
    </row>
    <row r="56" spans="1:29" ht="14.4">
      <c r="A56" s="172" t="s">
        <v>204</v>
      </c>
      <c r="B56" s="173" t="s">
        <v>157</v>
      </c>
      <c r="C56" s="174" t="s">
        <v>76</v>
      </c>
      <c r="D56" s="171">
        <v>18000</v>
      </c>
      <c r="E56" s="171">
        <v>2500</v>
      </c>
      <c r="F56" s="175">
        <v>44409</v>
      </c>
      <c r="G56" s="116">
        <f>IF(F56="", '4.Escalation'!G$28/'4.Escalation'!D$10, '4.Escalation'!G$28/VLOOKUP(F56,'4.Escalation'!$B$16:$D$27,3,0) )</f>
        <v>1.4128940443907485</v>
      </c>
      <c r="H56" s="116">
        <f>IF($F56="", '4.Escalation'!F$28/'4.Escalation'!C$10, '4.Escalation'!F$28/VLOOKUP(F56,'4.Escalation'!$B$16:$D$27,2,0) )</f>
        <v>1.3151235919899873</v>
      </c>
      <c r="I56" s="48">
        <f t="shared" si="12"/>
        <v>28719.9</v>
      </c>
      <c r="J56" s="45">
        <v>12</v>
      </c>
      <c r="K56" s="45">
        <f t="shared" si="13"/>
        <v>3</v>
      </c>
      <c r="L56" s="46">
        <f t="shared" si="14"/>
        <v>86159.700000000012</v>
      </c>
      <c r="M56" s="178"/>
      <c r="N56" s="174">
        <f>N75</f>
        <v>2</v>
      </c>
      <c r="O56" s="174">
        <f>O75</f>
        <v>1</v>
      </c>
      <c r="P56" s="174">
        <f>P74</f>
        <v>0</v>
      </c>
      <c r="Q56" s="174"/>
      <c r="R56" s="174"/>
      <c r="S56" s="174"/>
      <c r="T56" s="174"/>
      <c r="U56" s="174"/>
      <c r="V56" s="174"/>
      <c r="W56" s="174"/>
      <c r="X56" s="174"/>
      <c r="Y56" s="174"/>
      <c r="Z56" s="174"/>
      <c r="AA56" s="174"/>
      <c r="AB56" s="174"/>
      <c r="AC56" s="174"/>
    </row>
    <row r="57" spans="1:29" ht="14.4">
      <c r="A57" s="172" t="s">
        <v>205</v>
      </c>
      <c r="B57" s="173" t="s">
        <v>159</v>
      </c>
      <c r="C57" s="174" t="s">
        <v>76</v>
      </c>
      <c r="D57" s="171">
        <v>6000</v>
      </c>
      <c r="E57" s="171">
        <v>1000</v>
      </c>
      <c r="F57" s="175">
        <v>44409</v>
      </c>
      <c r="G57" s="116">
        <f>IF(F57="", '4.Escalation'!G$28/'4.Escalation'!D$10, '4.Escalation'!G$28/VLOOKUP(F57,'4.Escalation'!$B$16:$D$27,3,0) )</f>
        <v>1.4128940443907485</v>
      </c>
      <c r="H57" s="116">
        <f>IF($F57="", '4.Escalation'!F$28/'4.Escalation'!C$10, '4.Escalation'!F$28/VLOOKUP(F57,'4.Escalation'!$B$16:$D$27,2,0) )</f>
        <v>1.3151235919899873</v>
      </c>
      <c r="I57" s="48">
        <f t="shared" si="12"/>
        <v>9792.49</v>
      </c>
      <c r="J57" s="45">
        <v>0</v>
      </c>
      <c r="K57" s="45">
        <f t="shared" si="13"/>
        <v>0</v>
      </c>
      <c r="L57" s="46">
        <f t="shared" si="14"/>
        <v>0</v>
      </c>
      <c r="M57" s="178"/>
      <c r="N57" s="174"/>
      <c r="O57" s="174"/>
      <c r="P57" s="174"/>
      <c r="Q57" s="174"/>
      <c r="R57" s="174"/>
      <c r="S57" s="174"/>
      <c r="T57" s="174"/>
      <c r="U57" s="174"/>
      <c r="V57" s="174"/>
      <c r="W57" s="174"/>
      <c r="X57" s="174"/>
      <c r="Y57" s="174"/>
      <c r="Z57" s="174"/>
      <c r="AA57" s="174"/>
      <c r="AB57" s="174"/>
      <c r="AC57" s="172"/>
    </row>
    <row r="58" spans="1:29" ht="14.4">
      <c r="A58" s="172" t="s">
        <v>206</v>
      </c>
      <c r="B58" s="173" t="s">
        <v>161</v>
      </c>
      <c r="C58" s="174" t="s">
        <v>76</v>
      </c>
      <c r="D58" s="171">
        <v>7000</v>
      </c>
      <c r="E58" s="171">
        <v>1200</v>
      </c>
      <c r="F58" s="175">
        <v>44409</v>
      </c>
      <c r="G58" s="116">
        <f>IF(F58="", '4.Escalation'!G$28/'4.Escalation'!D$10, '4.Escalation'!G$28/VLOOKUP(F58,'4.Escalation'!$B$16:$D$27,3,0) )</f>
        <v>1.4128940443907485</v>
      </c>
      <c r="H58" s="116">
        <f>IF($F58="", '4.Escalation'!F$28/'4.Escalation'!C$10, '4.Escalation'!F$28/VLOOKUP(F58,'4.Escalation'!$B$16:$D$27,2,0) )</f>
        <v>1.3151235919899873</v>
      </c>
      <c r="I58" s="48">
        <f t="shared" si="12"/>
        <v>11468.41</v>
      </c>
      <c r="J58" s="45">
        <v>20</v>
      </c>
      <c r="K58" s="45">
        <f t="shared" si="13"/>
        <v>12</v>
      </c>
      <c r="L58" s="46">
        <f t="shared" si="14"/>
        <v>137620.91999999998</v>
      </c>
      <c r="M58" s="178"/>
      <c r="N58" s="174">
        <f>N76</f>
        <v>4</v>
      </c>
      <c r="O58" s="174">
        <f>O76</f>
        <v>6</v>
      </c>
      <c r="P58" s="174">
        <f>P76</f>
        <v>2</v>
      </c>
      <c r="Q58" s="174"/>
      <c r="R58" s="174"/>
      <c r="S58" s="174"/>
      <c r="T58" s="174"/>
      <c r="U58" s="174"/>
      <c r="V58" s="174"/>
      <c r="W58" s="174"/>
      <c r="X58" s="174"/>
      <c r="Y58" s="174"/>
      <c r="Z58" s="174"/>
      <c r="AA58" s="174"/>
      <c r="AB58" s="174"/>
      <c r="AC58" s="174"/>
    </row>
    <row r="59" spans="1:29" ht="14.4">
      <c r="A59" s="172" t="s">
        <v>207</v>
      </c>
      <c r="B59" s="173" t="s">
        <v>163</v>
      </c>
      <c r="C59" s="174" t="s">
        <v>76</v>
      </c>
      <c r="D59" s="171">
        <v>27000</v>
      </c>
      <c r="E59" s="171">
        <v>3500</v>
      </c>
      <c r="F59" s="175">
        <v>44409</v>
      </c>
      <c r="G59" s="116">
        <f>IF(F59="", '4.Escalation'!G$28/'4.Escalation'!D$10, '4.Escalation'!G$28/VLOOKUP(F59,'4.Escalation'!$B$16:$D$27,3,0) )</f>
        <v>1.4128940443907485</v>
      </c>
      <c r="H59" s="116">
        <f>IF($F59="", '4.Escalation'!F$28/'4.Escalation'!C$10, '4.Escalation'!F$28/VLOOKUP(F59,'4.Escalation'!$B$16:$D$27,2,0) )</f>
        <v>1.3151235919899873</v>
      </c>
      <c r="I59" s="48">
        <f t="shared" si="12"/>
        <v>42751.07</v>
      </c>
      <c r="J59" s="45">
        <v>11</v>
      </c>
      <c r="K59" s="45">
        <f t="shared" si="13"/>
        <v>4</v>
      </c>
      <c r="L59" s="46">
        <f t="shared" si="14"/>
        <v>171004.28</v>
      </c>
      <c r="M59" s="178"/>
      <c r="N59" s="174">
        <f>N6</f>
        <v>2</v>
      </c>
      <c r="O59" s="174"/>
      <c r="P59" s="174">
        <f>P6</f>
        <v>2</v>
      </c>
      <c r="Q59" s="174"/>
      <c r="R59" s="174"/>
      <c r="S59" s="174"/>
      <c r="T59" s="174"/>
      <c r="U59" s="174"/>
      <c r="V59" s="174"/>
      <c r="W59" s="174"/>
      <c r="X59" s="174"/>
      <c r="Y59" s="174"/>
      <c r="Z59" s="174"/>
      <c r="AA59" s="174"/>
      <c r="AB59" s="174"/>
      <c r="AC59" s="172"/>
    </row>
    <row r="60" spans="1:29" ht="14.4">
      <c r="A60" s="172" t="s">
        <v>208</v>
      </c>
      <c r="B60" s="173" t="s">
        <v>165</v>
      </c>
      <c r="C60" s="174" t="s">
        <v>76</v>
      </c>
      <c r="D60" s="171">
        <v>5000</v>
      </c>
      <c r="E60" s="171">
        <v>1000</v>
      </c>
      <c r="F60" s="175">
        <v>44409</v>
      </c>
      <c r="G60" s="116">
        <f>IF(F60="", '4.Escalation'!G$28/'4.Escalation'!D$10, '4.Escalation'!G$28/VLOOKUP(F60,'4.Escalation'!$B$16:$D$27,3,0) )</f>
        <v>1.4128940443907485</v>
      </c>
      <c r="H60" s="116">
        <f>IF($F60="", '4.Escalation'!F$28/'4.Escalation'!C$10, '4.Escalation'!F$28/VLOOKUP(F60,'4.Escalation'!$B$16:$D$27,2,0) )</f>
        <v>1.3151235919899873</v>
      </c>
      <c r="I60" s="48">
        <f t="shared" si="12"/>
        <v>8379.59</v>
      </c>
      <c r="J60" s="45">
        <v>49</v>
      </c>
      <c r="K60" s="45">
        <f t="shared" si="13"/>
        <v>19</v>
      </c>
      <c r="L60" s="46">
        <f t="shared" si="14"/>
        <v>159212.21</v>
      </c>
      <c r="M60" s="178"/>
      <c r="N60" s="174">
        <f>2*N6</f>
        <v>4</v>
      </c>
      <c r="O60" s="174">
        <f>O58</f>
        <v>6</v>
      </c>
      <c r="P60" s="174">
        <f>2*P6</f>
        <v>4</v>
      </c>
      <c r="Q60" s="174"/>
      <c r="R60" s="174">
        <v>2</v>
      </c>
      <c r="S60" s="174">
        <v>1</v>
      </c>
      <c r="T60" s="174">
        <v>2</v>
      </c>
      <c r="U60" s="174"/>
      <c r="V60" s="174"/>
      <c r="W60" s="174"/>
      <c r="X60" s="174"/>
      <c r="Y60" s="174"/>
      <c r="Z60" s="174"/>
      <c r="AA60" s="174"/>
      <c r="AB60" s="174"/>
      <c r="AC60" s="172"/>
    </row>
    <row r="61" spans="1:29" ht="14.4">
      <c r="A61" s="172" t="s">
        <v>209</v>
      </c>
      <c r="B61" s="173" t="s">
        <v>210</v>
      </c>
      <c r="C61" s="174" t="s">
        <v>76</v>
      </c>
      <c r="D61" s="171">
        <v>45000</v>
      </c>
      <c r="E61" s="171">
        <v>7000</v>
      </c>
      <c r="F61" s="175">
        <v>44409</v>
      </c>
      <c r="G61" s="116">
        <f>IF(F61="", '4.Escalation'!G$28/'4.Escalation'!D$10, '4.Escalation'!G$28/VLOOKUP(F61,'4.Escalation'!$B$16:$D$27,3,0) )</f>
        <v>1.4128940443907485</v>
      </c>
      <c r="H61" s="116">
        <f>IF($F61="", '4.Escalation'!F$28/'4.Escalation'!C$10, '4.Escalation'!F$28/VLOOKUP(F61,'4.Escalation'!$B$16:$D$27,2,0) )</f>
        <v>1.3151235919899873</v>
      </c>
      <c r="I61" s="48">
        <f t="shared" si="12"/>
        <v>72786.100000000006</v>
      </c>
      <c r="J61" s="45">
        <v>8</v>
      </c>
      <c r="K61" s="45">
        <f t="shared" si="13"/>
        <v>8</v>
      </c>
      <c r="L61" s="46">
        <f t="shared" si="14"/>
        <v>582288.80000000005</v>
      </c>
      <c r="M61" s="178"/>
      <c r="N61" s="174"/>
      <c r="O61" s="174">
        <v>8</v>
      </c>
      <c r="P61" s="174"/>
      <c r="Q61" s="174"/>
      <c r="R61" s="174"/>
      <c r="S61" s="174"/>
      <c r="T61" s="174"/>
      <c r="U61" s="174"/>
      <c r="V61" s="174"/>
      <c r="W61" s="174"/>
      <c r="X61" s="174"/>
      <c r="Y61" s="174"/>
      <c r="Z61" s="174"/>
      <c r="AA61" s="174"/>
      <c r="AB61" s="174"/>
      <c r="AC61" s="172"/>
    </row>
    <row r="62" spans="1:29" ht="14.4">
      <c r="A62" s="172" t="s">
        <v>211</v>
      </c>
      <c r="B62" s="173" t="s">
        <v>212</v>
      </c>
      <c r="C62" s="174" t="s">
        <v>76</v>
      </c>
      <c r="D62" s="171">
        <v>32000</v>
      </c>
      <c r="E62" s="171">
        <v>5000</v>
      </c>
      <c r="F62" s="175">
        <v>44409</v>
      </c>
      <c r="G62" s="116">
        <f>IF(F62="", '4.Escalation'!G$28/'4.Escalation'!D$10, '4.Escalation'!G$28/VLOOKUP(F62,'4.Escalation'!$B$16:$D$27,3,0) )</f>
        <v>1.4128940443907485</v>
      </c>
      <c r="H62" s="116">
        <f>IF($F62="", '4.Escalation'!F$28/'4.Escalation'!C$10, '4.Escalation'!F$28/VLOOKUP(F62,'4.Escalation'!$B$16:$D$27,2,0) )</f>
        <v>1.3151235919899873</v>
      </c>
      <c r="I62" s="48">
        <f t="shared" si="12"/>
        <v>51788.23</v>
      </c>
      <c r="J62" s="45">
        <v>4</v>
      </c>
      <c r="K62" s="45">
        <f t="shared" si="13"/>
        <v>4</v>
      </c>
      <c r="L62" s="46">
        <f t="shared" si="14"/>
        <v>207152.92</v>
      </c>
      <c r="M62" s="178"/>
      <c r="N62" s="174"/>
      <c r="O62" s="174">
        <v>4</v>
      </c>
      <c r="P62" s="174"/>
      <c r="Q62" s="174"/>
      <c r="R62" s="174"/>
      <c r="S62" s="174"/>
      <c r="T62" s="174"/>
      <c r="U62" s="174"/>
      <c r="V62" s="174"/>
      <c r="W62" s="174"/>
      <c r="X62" s="174"/>
      <c r="Y62" s="174"/>
      <c r="Z62" s="174"/>
      <c r="AA62" s="174"/>
      <c r="AB62" s="174"/>
      <c r="AC62" s="172"/>
    </row>
    <row r="63" spans="1:29" ht="14.4">
      <c r="A63" s="172" t="s">
        <v>213</v>
      </c>
      <c r="B63" s="173" t="s">
        <v>169</v>
      </c>
      <c r="C63" s="174" t="s">
        <v>76</v>
      </c>
      <c r="D63" s="171">
        <v>38000</v>
      </c>
      <c r="E63" s="171">
        <v>7000</v>
      </c>
      <c r="F63" s="175">
        <v>44409</v>
      </c>
      <c r="G63" s="116">
        <f>IF(F63="", '4.Escalation'!G$28/'4.Escalation'!D$10, '4.Escalation'!G$28/VLOOKUP(F63,'4.Escalation'!$B$16:$D$27,3,0) )</f>
        <v>1.4128940443907485</v>
      </c>
      <c r="H63" s="116">
        <f>IF($F63="", '4.Escalation'!F$28/'4.Escalation'!C$10, '4.Escalation'!F$28/VLOOKUP(F63,'4.Escalation'!$B$16:$D$27,2,0) )</f>
        <v>1.3151235919899873</v>
      </c>
      <c r="I63" s="48">
        <f t="shared" si="12"/>
        <v>62895.839999999997</v>
      </c>
      <c r="J63" s="45">
        <v>0</v>
      </c>
      <c r="K63" s="45">
        <f t="shared" si="13"/>
        <v>0</v>
      </c>
      <c r="L63" s="46">
        <f t="shared" si="14"/>
        <v>0</v>
      </c>
      <c r="M63" s="178"/>
      <c r="N63" s="174"/>
      <c r="O63" s="180"/>
      <c r="P63" s="174"/>
      <c r="Q63" s="174"/>
      <c r="R63" s="174"/>
      <c r="S63" s="180"/>
      <c r="T63" s="174"/>
      <c r="U63" s="174"/>
      <c r="V63" s="174"/>
      <c r="W63" s="180"/>
      <c r="X63" s="174"/>
      <c r="Y63" s="174"/>
      <c r="Z63" s="174"/>
      <c r="AA63" s="174"/>
      <c r="AB63" s="180"/>
      <c r="AC63" s="174"/>
    </row>
    <row r="64" spans="1:29" ht="14.4">
      <c r="A64" s="172" t="s">
        <v>214</v>
      </c>
      <c r="B64" s="173" t="s">
        <v>171</v>
      </c>
      <c r="C64" s="174" t="s">
        <v>76</v>
      </c>
      <c r="D64" s="171">
        <v>60000</v>
      </c>
      <c r="E64" s="171">
        <v>12000</v>
      </c>
      <c r="F64" s="175">
        <v>44409</v>
      </c>
      <c r="G64" s="116">
        <f>IF(F64="", '4.Escalation'!G$28/'4.Escalation'!D$10, '4.Escalation'!G$28/VLOOKUP(F64,'4.Escalation'!$B$16:$D$27,3,0) )</f>
        <v>1.4128940443907485</v>
      </c>
      <c r="H64" s="116">
        <f>IF($F64="", '4.Escalation'!F$28/'4.Escalation'!C$10, '4.Escalation'!F$28/VLOOKUP(F64,'4.Escalation'!$B$16:$D$27,2,0) )</f>
        <v>1.3151235919899873</v>
      </c>
      <c r="I64" s="48">
        <f t="shared" si="12"/>
        <v>100555.13</v>
      </c>
      <c r="J64" s="45">
        <v>8</v>
      </c>
      <c r="K64" s="45">
        <f t="shared" si="13"/>
        <v>8</v>
      </c>
      <c r="L64" s="46">
        <f t="shared" si="14"/>
        <v>804441.04</v>
      </c>
      <c r="M64" s="178"/>
      <c r="N64" s="174"/>
      <c r="O64" s="181">
        <v>2</v>
      </c>
      <c r="P64" s="181"/>
      <c r="Q64" s="181"/>
      <c r="R64" s="181"/>
      <c r="S64" s="181">
        <v>2</v>
      </c>
      <c r="T64" s="181"/>
      <c r="U64" s="181"/>
      <c r="V64" s="181"/>
      <c r="W64" s="181">
        <v>2</v>
      </c>
      <c r="X64" s="181"/>
      <c r="Y64" s="181"/>
      <c r="Z64" s="181"/>
      <c r="AA64" s="181"/>
      <c r="AB64" s="181">
        <v>2</v>
      </c>
      <c r="AC64" s="181"/>
    </row>
    <row r="65" spans="1:29" ht="14.4">
      <c r="A65" s="172" t="s">
        <v>215</v>
      </c>
      <c r="B65" s="173" t="s">
        <v>216</v>
      </c>
      <c r="C65" s="174" t="s">
        <v>76</v>
      </c>
      <c r="D65" s="171">
        <v>6000</v>
      </c>
      <c r="E65" s="171">
        <v>1000</v>
      </c>
      <c r="F65" s="175">
        <v>44409</v>
      </c>
      <c r="G65" s="116">
        <f>IF(F65="", '4.Escalation'!G$28/'4.Escalation'!D$10, '4.Escalation'!G$28/VLOOKUP(F65,'4.Escalation'!$B$16:$D$27,3,0) )</f>
        <v>1.4128940443907485</v>
      </c>
      <c r="H65" s="116">
        <f>IF($F65="", '4.Escalation'!F$28/'4.Escalation'!C$10, '4.Escalation'!F$28/VLOOKUP(F65,'4.Escalation'!$B$16:$D$27,2,0) )</f>
        <v>1.3151235919899873</v>
      </c>
      <c r="I65" s="48">
        <f t="shared" si="12"/>
        <v>9792.49</v>
      </c>
      <c r="J65" s="45">
        <v>18</v>
      </c>
      <c r="K65" s="45">
        <f t="shared" si="13"/>
        <v>5</v>
      </c>
      <c r="L65" s="46">
        <f t="shared" si="14"/>
        <v>48962.45</v>
      </c>
      <c r="M65" s="178"/>
      <c r="N65" s="174"/>
      <c r="O65" s="174"/>
      <c r="P65" s="174"/>
      <c r="Q65" s="174"/>
      <c r="R65" s="174">
        <v>2</v>
      </c>
      <c r="S65" s="174">
        <v>1</v>
      </c>
      <c r="T65" s="174">
        <v>2</v>
      </c>
      <c r="U65" s="174"/>
      <c r="V65" s="174"/>
      <c r="W65" s="174"/>
      <c r="X65" s="174"/>
      <c r="Y65" s="174"/>
      <c r="Z65" s="174"/>
      <c r="AA65" s="174"/>
      <c r="AB65" s="174"/>
      <c r="AC65" s="172"/>
    </row>
    <row r="66" spans="1:29" ht="14.4">
      <c r="A66" s="172" t="s">
        <v>217</v>
      </c>
      <c r="B66" s="173" t="s">
        <v>499</v>
      </c>
      <c r="C66" s="174" t="s">
        <v>76</v>
      </c>
      <c r="D66" s="171">
        <v>22000</v>
      </c>
      <c r="E66" s="171">
        <v>3500</v>
      </c>
      <c r="F66" s="175">
        <v>44409</v>
      </c>
      <c r="G66" s="116">
        <f>IF(F66="", '4.Escalation'!G$28/'4.Escalation'!D$10, '4.Escalation'!G$28/VLOOKUP(F66,'4.Escalation'!$B$16:$D$27,3,0) )</f>
        <v>1.4128940443907485</v>
      </c>
      <c r="H66" s="116">
        <f>IF($F66="", '4.Escalation'!F$28/'4.Escalation'!C$10, '4.Escalation'!F$28/VLOOKUP(F66,'4.Escalation'!$B$16:$D$27,2,0) )</f>
        <v>1.3151235919899873</v>
      </c>
      <c r="I66" s="48">
        <f t="shared" si="12"/>
        <v>35686.6</v>
      </c>
      <c r="J66" s="45">
        <v>4</v>
      </c>
      <c r="K66" s="45">
        <f t="shared" si="13"/>
        <v>0</v>
      </c>
      <c r="L66" s="46">
        <f t="shared" si="14"/>
        <v>0</v>
      </c>
      <c r="M66" s="178"/>
      <c r="N66" s="174"/>
      <c r="O66" s="174"/>
      <c r="P66" s="174"/>
      <c r="Q66" s="174"/>
      <c r="R66" s="174"/>
      <c r="S66" s="174"/>
      <c r="T66" s="174"/>
      <c r="U66" s="174"/>
      <c r="V66" s="174"/>
      <c r="W66" s="174"/>
      <c r="X66" s="174"/>
      <c r="Y66" s="174"/>
      <c r="Z66" s="174"/>
      <c r="AA66" s="174"/>
      <c r="AB66" s="174"/>
      <c r="AC66" s="172"/>
    </row>
    <row r="67" spans="1:29" ht="14.4">
      <c r="A67" s="172" t="s">
        <v>218</v>
      </c>
      <c r="B67" s="173" t="s">
        <v>219</v>
      </c>
      <c r="C67" s="174" t="s">
        <v>76</v>
      </c>
      <c r="D67" s="171">
        <v>9000</v>
      </c>
      <c r="E67" s="171">
        <v>2000</v>
      </c>
      <c r="F67" s="175">
        <v>44409</v>
      </c>
      <c r="G67" s="116">
        <f>IF(F67="", '4.Escalation'!G$28/'4.Escalation'!D$10, '4.Escalation'!G$28/VLOOKUP(F67,'4.Escalation'!$B$16:$D$27,3,0) )</f>
        <v>1.4128940443907485</v>
      </c>
      <c r="H67" s="116">
        <f>IF($F67="", '4.Escalation'!F$28/'4.Escalation'!C$10, '4.Escalation'!F$28/VLOOKUP(F67,'4.Escalation'!$B$16:$D$27,2,0) )</f>
        <v>1.3151235919899873</v>
      </c>
      <c r="I67" s="48">
        <f t="shared" si="12"/>
        <v>15346.29</v>
      </c>
      <c r="J67" s="45">
        <v>4</v>
      </c>
      <c r="K67" s="45">
        <f t="shared" si="13"/>
        <v>6</v>
      </c>
      <c r="L67" s="46">
        <f t="shared" si="14"/>
        <v>92077.74</v>
      </c>
      <c r="M67" s="178"/>
      <c r="N67" s="174"/>
      <c r="O67" s="174"/>
      <c r="P67" s="174"/>
      <c r="Q67" s="174">
        <v>2</v>
      </c>
      <c r="R67" s="174"/>
      <c r="S67" s="174"/>
      <c r="T67" s="174"/>
      <c r="U67" s="174"/>
      <c r="V67" s="174"/>
      <c r="W67" s="174"/>
      <c r="X67" s="174"/>
      <c r="Y67" s="174">
        <v>2</v>
      </c>
      <c r="Z67" s="174">
        <v>2</v>
      </c>
      <c r="AA67" s="174"/>
      <c r="AB67" s="174"/>
      <c r="AC67" s="172"/>
    </row>
    <row r="68" spans="1:29" ht="14.4">
      <c r="A68" s="172" t="s">
        <v>220</v>
      </c>
      <c r="B68" s="173" t="s">
        <v>180</v>
      </c>
      <c r="C68" s="174" t="s">
        <v>76</v>
      </c>
      <c r="D68" s="171">
        <v>22000</v>
      </c>
      <c r="E68" s="171">
        <v>3500</v>
      </c>
      <c r="F68" s="175">
        <v>44409</v>
      </c>
      <c r="G68" s="116">
        <f>IF(F68="", '4.Escalation'!G$28/'4.Escalation'!D$10, '4.Escalation'!G$28/VLOOKUP(F68,'4.Escalation'!$B$16:$D$27,3,0) )</f>
        <v>1.4128940443907485</v>
      </c>
      <c r="H68" s="116">
        <f>IF($F68="", '4.Escalation'!F$28/'4.Escalation'!C$10, '4.Escalation'!F$28/VLOOKUP(F68,'4.Escalation'!$B$16:$D$27,2,0) )</f>
        <v>1.3151235919899873</v>
      </c>
      <c r="I68" s="48">
        <f t="shared" si="12"/>
        <v>35686.6</v>
      </c>
      <c r="J68" s="45">
        <v>0</v>
      </c>
      <c r="K68" s="45">
        <f t="shared" si="13"/>
        <v>0</v>
      </c>
      <c r="L68" s="46">
        <f t="shared" si="14"/>
        <v>0</v>
      </c>
      <c r="M68" s="178"/>
      <c r="N68" s="174"/>
      <c r="O68" s="174"/>
      <c r="P68" s="174"/>
      <c r="Q68" s="174"/>
      <c r="R68" s="174"/>
      <c r="S68" s="174"/>
      <c r="T68" s="174"/>
      <c r="U68" s="174"/>
      <c r="V68" s="174"/>
      <c r="W68" s="174"/>
      <c r="X68" s="174"/>
      <c r="Y68" s="174"/>
      <c r="Z68" s="174"/>
      <c r="AA68" s="174"/>
      <c r="AB68" s="174"/>
      <c r="AC68" s="174"/>
    </row>
    <row r="69" spans="1:29">
      <c r="A69" s="172"/>
      <c r="B69" s="173"/>
      <c r="C69" s="174"/>
      <c r="D69" s="171"/>
      <c r="E69" s="171"/>
      <c r="F69" s="171"/>
      <c r="G69" s="44"/>
      <c r="H69" s="44"/>
      <c r="I69" s="48"/>
      <c r="J69" s="45">
        <v>0</v>
      </c>
      <c r="K69" s="45"/>
      <c r="L69" s="46"/>
      <c r="M69" s="178"/>
      <c r="N69" s="174"/>
      <c r="O69" s="174"/>
      <c r="P69" s="174"/>
      <c r="Q69" s="174"/>
      <c r="R69" s="174"/>
      <c r="S69" s="174"/>
      <c r="T69" s="174"/>
      <c r="U69" s="174"/>
      <c r="V69" s="174"/>
      <c r="W69" s="174"/>
      <c r="X69" s="174"/>
      <c r="Y69" s="174"/>
      <c r="Z69" s="174"/>
      <c r="AA69" s="174"/>
      <c r="AB69" s="174"/>
      <c r="AC69" s="172"/>
    </row>
    <row r="70" spans="1:29">
      <c r="A70" s="172">
        <v>3.4</v>
      </c>
      <c r="B70" s="176" t="s">
        <v>221</v>
      </c>
      <c r="C70" s="174"/>
      <c r="D70" s="171"/>
      <c r="E70" s="171"/>
      <c r="F70" s="171"/>
      <c r="G70" s="44"/>
      <c r="H70" s="44"/>
      <c r="I70" s="48"/>
      <c r="J70" s="45">
        <v>0</v>
      </c>
      <c r="K70" s="45"/>
      <c r="L70" s="46"/>
      <c r="M70" s="178"/>
      <c r="N70" s="174"/>
      <c r="O70" s="174"/>
      <c r="P70" s="174"/>
      <c r="Q70" s="174"/>
      <c r="R70" s="174"/>
      <c r="S70" s="174"/>
      <c r="T70" s="174"/>
      <c r="U70" s="174"/>
      <c r="V70" s="174"/>
      <c r="W70" s="174"/>
      <c r="X70" s="174"/>
      <c r="Y70" s="174"/>
      <c r="Z70" s="174"/>
      <c r="AA70" s="174"/>
      <c r="AB70" s="174"/>
      <c r="AC70" s="172"/>
    </row>
    <row r="71" spans="1:29" ht="14.4">
      <c r="A71" s="172" t="s">
        <v>222</v>
      </c>
      <c r="B71" s="173" t="s">
        <v>223</v>
      </c>
      <c r="C71" s="174" t="s">
        <v>76</v>
      </c>
      <c r="D71" s="171">
        <v>300000</v>
      </c>
      <c r="E71" s="171">
        <v>10000</v>
      </c>
      <c r="F71" s="175">
        <v>44197</v>
      </c>
      <c r="G71" s="116">
        <f>IF(F71="", '4.Escalation'!G$28/'4.Escalation'!D$10, '4.Escalation'!G$28/VLOOKUP(F71,'4.Escalation'!$B$16:$D$27,3,0) )</f>
        <v>1.6888579872234699</v>
      </c>
      <c r="H71" s="116">
        <f>IF($F71="", '4.Escalation'!F$28/'4.Escalation'!C$10, '4.Escalation'!F$28/VLOOKUP(F71,'4.Escalation'!$B$16:$D$27,2,0) )</f>
        <v>1.5590263353115725</v>
      </c>
      <c r="I71" s="48">
        <f t="shared" ref="I71:I91" si="15">ROUND(D71*G71+E71*H71,2)</f>
        <v>522247.66</v>
      </c>
      <c r="J71" s="45">
        <v>4</v>
      </c>
      <c r="K71" s="45">
        <f t="shared" ref="K71:K91" si="16">SUM(M71:AC71)</f>
        <v>2</v>
      </c>
      <c r="L71" s="46">
        <f t="shared" ref="L71:L91" si="17">K71*I71</f>
        <v>1044495.32</v>
      </c>
      <c r="M71" s="178"/>
      <c r="N71" s="174"/>
      <c r="O71" s="174"/>
      <c r="P71" s="174"/>
      <c r="Q71" s="174"/>
      <c r="R71" s="174"/>
      <c r="S71" s="174"/>
      <c r="T71" s="174"/>
      <c r="U71" s="174"/>
      <c r="V71" s="174"/>
      <c r="W71" s="174"/>
      <c r="X71" s="174"/>
      <c r="Y71" s="174"/>
      <c r="Z71" s="174"/>
      <c r="AA71" s="174">
        <v>2</v>
      </c>
      <c r="AB71" s="174"/>
      <c r="AC71" s="174"/>
    </row>
    <row r="72" spans="1:29" ht="14.4">
      <c r="A72" s="172" t="s">
        <v>224</v>
      </c>
      <c r="B72" s="173" t="s">
        <v>225</v>
      </c>
      <c r="C72" s="174" t="s">
        <v>76</v>
      </c>
      <c r="D72" s="171">
        <v>275000</v>
      </c>
      <c r="E72" s="171">
        <v>10000</v>
      </c>
      <c r="F72" s="175">
        <v>44197</v>
      </c>
      <c r="G72" s="116">
        <f>IF(F72="", '4.Escalation'!G$28/'4.Escalation'!D$10, '4.Escalation'!G$28/VLOOKUP(F72,'4.Escalation'!$B$16:$D$27,3,0) )</f>
        <v>1.6888579872234699</v>
      </c>
      <c r="H72" s="116">
        <f>IF($F72="", '4.Escalation'!F$28/'4.Escalation'!C$10, '4.Escalation'!F$28/VLOOKUP(F72,'4.Escalation'!$B$16:$D$27,2,0) )</f>
        <v>1.5590263353115725</v>
      </c>
      <c r="I72" s="48">
        <f t="shared" si="15"/>
        <v>480026.21</v>
      </c>
      <c r="J72" s="45">
        <v>3</v>
      </c>
      <c r="K72" s="45">
        <f t="shared" si="16"/>
        <v>1</v>
      </c>
      <c r="L72" s="46">
        <f t="shared" si="17"/>
        <v>480026.21</v>
      </c>
      <c r="M72" s="178"/>
      <c r="N72" s="174"/>
      <c r="O72" s="174"/>
      <c r="P72" s="174"/>
      <c r="Q72" s="174"/>
      <c r="R72" s="174"/>
      <c r="S72" s="174"/>
      <c r="T72" s="174"/>
      <c r="U72" s="174"/>
      <c r="V72" s="174"/>
      <c r="W72" s="174"/>
      <c r="X72" s="174"/>
      <c r="Y72" s="174"/>
      <c r="Z72" s="174"/>
      <c r="AA72" s="174"/>
      <c r="AB72" s="174">
        <v>1</v>
      </c>
      <c r="AC72" s="174"/>
    </row>
    <row r="73" spans="1:29" ht="14.4">
      <c r="A73" s="172" t="s">
        <v>226</v>
      </c>
      <c r="B73" s="173" t="s">
        <v>227</v>
      </c>
      <c r="C73" s="174" t="s">
        <v>76</v>
      </c>
      <c r="D73" s="171">
        <v>250000</v>
      </c>
      <c r="E73" s="171">
        <v>10000</v>
      </c>
      <c r="F73" s="175">
        <v>44197</v>
      </c>
      <c r="G73" s="116">
        <f>IF(F73="", '4.Escalation'!G$28/'4.Escalation'!D$10, '4.Escalation'!G$28/VLOOKUP(F73,'4.Escalation'!$B$16:$D$27,3,0) )</f>
        <v>1.6888579872234699</v>
      </c>
      <c r="H73" s="116">
        <f>IF($F73="", '4.Escalation'!F$28/'4.Escalation'!C$10, '4.Escalation'!F$28/VLOOKUP(F73,'4.Escalation'!$B$16:$D$27,2,0) )</f>
        <v>1.5590263353115725</v>
      </c>
      <c r="I73" s="48">
        <f t="shared" si="15"/>
        <v>437804.76</v>
      </c>
      <c r="J73" s="45">
        <v>10</v>
      </c>
      <c r="K73" s="45">
        <f t="shared" si="16"/>
        <v>8</v>
      </c>
      <c r="L73" s="46">
        <f t="shared" si="17"/>
        <v>3502438.08</v>
      </c>
      <c r="M73" s="178"/>
      <c r="N73" s="174"/>
      <c r="O73" s="174"/>
      <c r="P73" s="174"/>
      <c r="Q73" s="174"/>
      <c r="R73" s="174"/>
      <c r="S73" s="174"/>
      <c r="T73" s="174"/>
      <c r="U73" s="174"/>
      <c r="V73" s="174"/>
      <c r="W73" s="174"/>
      <c r="X73" s="174"/>
      <c r="Y73" s="174"/>
      <c r="Z73" s="174"/>
      <c r="AA73" s="174"/>
      <c r="AB73" s="174"/>
      <c r="AC73" s="174">
        <v>8</v>
      </c>
    </row>
    <row r="74" spans="1:29" ht="14.4">
      <c r="A74" s="172" t="s">
        <v>228</v>
      </c>
      <c r="B74" s="173" t="s">
        <v>155</v>
      </c>
      <c r="C74" s="174" t="s">
        <v>76</v>
      </c>
      <c r="D74" s="171">
        <v>600000</v>
      </c>
      <c r="E74" s="171">
        <v>10000</v>
      </c>
      <c r="F74" s="175">
        <v>44409</v>
      </c>
      <c r="G74" s="116">
        <f>IF(F74="", '4.Escalation'!G$28/'4.Escalation'!D$10, '4.Escalation'!G$28/VLOOKUP(F74,'4.Escalation'!$B$16:$D$27,3,0) )</f>
        <v>1.4128940443907485</v>
      </c>
      <c r="H74" s="116">
        <f>IF($F74="", '4.Escalation'!F$28/'4.Escalation'!C$10, '4.Escalation'!F$28/VLOOKUP(F74,'4.Escalation'!$B$16:$D$27,2,0) )</f>
        <v>1.3151235919899873</v>
      </c>
      <c r="I74" s="48">
        <f t="shared" si="15"/>
        <v>860887.66</v>
      </c>
      <c r="J74" s="45">
        <v>8</v>
      </c>
      <c r="K74" s="45">
        <f t="shared" si="16"/>
        <v>9</v>
      </c>
      <c r="L74" s="46">
        <f t="shared" si="17"/>
        <v>7747988.9400000004</v>
      </c>
      <c r="M74" s="178"/>
      <c r="N74" s="174"/>
      <c r="O74" s="174"/>
      <c r="P74" s="174"/>
      <c r="Q74" s="174"/>
      <c r="R74" s="174">
        <v>2</v>
      </c>
      <c r="S74" s="174">
        <v>1</v>
      </c>
      <c r="T74" s="174">
        <v>2</v>
      </c>
      <c r="U74" s="174"/>
      <c r="V74" s="174"/>
      <c r="W74" s="174"/>
      <c r="X74" s="174"/>
      <c r="Y74" s="174">
        <v>4</v>
      </c>
      <c r="Z74" s="174"/>
      <c r="AA74" s="174"/>
      <c r="AB74" s="174"/>
      <c r="AC74" s="174"/>
    </row>
    <row r="75" spans="1:29" ht="14.4">
      <c r="A75" s="172" t="s">
        <v>229</v>
      </c>
      <c r="B75" s="173" t="s">
        <v>157</v>
      </c>
      <c r="C75" s="174" t="s">
        <v>76</v>
      </c>
      <c r="D75" s="171">
        <v>520000</v>
      </c>
      <c r="E75" s="171">
        <v>30000</v>
      </c>
      <c r="F75" s="175">
        <v>44409</v>
      </c>
      <c r="G75" s="116">
        <f>IF(F75="", '4.Escalation'!G$28/'4.Escalation'!D$10, '4.Escalation'!G$28/VLOOKUP(F75,'4.Escalation'!$B$16:$D$27,3,0) )</f>
        <v>1.4128940443907485</v>
      </c>
      <c r="H75" s="116">
        <f>IF($F75="", '4.Escalation'!F$28/'4.Escalation'!C$10, '4.Escalation'!F$28/VLOOKUP(F75,'4.Escalation'!$B$16:$D$27,2,0) )</f>
        <v>1.3151235919899873</v>
      </c>
      <c r="I75" s="48">
        <f t="shared" si="15"/>
        <v>774158.61</v>
      </c>
      <c r="J75" s="45">
        <v>12</v>
      </c>
      <c r="K75" s="45">
        <f t="shared" si="16"/>
        <v>5</v>
      </c>
      <c r="L75" s="46">
        <f t="shared" si="17"/>
        <v>3870793.05</v>
      </c>
      <c r="M75" s="178"/>
      <c r="N75" s="174">
        <v>2</v>
      </c>
      <c r="O75" s="174">
        <v>1</v>
      </c>
      <c r="P75" s="174">
        <v>2</v>
      </c>
      <c r="Q75" s="174"/>
      <c r="R75" s="174"/>
      <c r="S75" s="174"/>
      <c r="T75" s="174"/>
      <c r="U75" s="174"/>
      <c r="V75" s="174"/>
      <c r="W75" s="174"/>
      <c r="X75" s="174"/>
      <c r="Y75" s="174"/>
      <c r="Z75" s="174"/>
      <c r="AA75" s="174"/>
      <c r="AB75" s="174"/>
      <c r="AC75" s="174"/>
    </row>
    <row r="76" spans="1:29" ht="14.4">
      <c r="A76" s="172" t="s">
        <v>230</v>
      </c>
      <c r="B76" s="173" t="s">
        <v>161</v>
      </c>
      <c r="C76" s="174" t="s">
        <v>76</v>
      </c>
      <c r="D76" s="171">
        <v>200000</v>
      </c>
      <c r="E76" s="171">
        <v>22000</v>
      </c>
      <c r="F76" s="175">
        <v>44409</v>
      </c>
      <c r="G76" s="116">
        <f>IF(F76="", '4.Escalation'!G$28/'4.Escalation'!D$10, '4.Escalation'!G$28/VLOOKUP(F76,'4.Escalation'!$B$16:$D$27,3,0) )</f>
        <v>1.4128940443907485</v>
      </c>
      <c r="H76" s="116">
        <f>IF($F76="", '4.Escalation'!F$28/'4.Escalation'!C$10, '4.Escalation'!F$28/VLOOKUP(F76,'4.Escalation'!$B$16:$D$27,2,0) )</f>
        <v>1.3151235919899873</v>
      </c>
      <c r="I76" s="48">
        <f t="shared" si="15"/>
        <v>311511.53000000003</v>
      </c>
      <c r="J76" s="45">
        <v>20</v>
      </c>
      <c r="K76" s="45">
        <f t="shared" si="16"/>
        <v>12</v>
      </c>
      <c r="L76" s="46">
        <f t="shared" si="17"/>
        <v>3738138.3600000003</v>
      </c>
      <c r="M76" s="178"/>
      <c r="N76" s="174">
        <v>4</v>
      </c>
      <c r="O76" s="174">
        <v>6</v>
      </c>
      <c r="P76" s="174">
        <v>2</v>
      </c>
      <c r="Q76" s="174"/>
      <c r="R76" s="174"/>
      <c r="S76" s="174"/>
      <c r="T76" s="174"/>
      <c r="U76" s="174"/>
      <c r="V76" s="174"/>
      <c r="W76" s="174"/>
      <c r="X76" s="174"/>
      <c r="Y76" s="174"/>
      <c r="Z76" s="174"/>
      <c r="AA76" s="174"/>
      <c r="AB76" s="174"/>
      <c r="AC76" s="174"/>
    </row>
    <row r="77" spans="1:29" ht="14.4">
      <c r="A77" s="172" t="s">
        <v>231</v>
      </c>
      <c r="B77" s="173" t="s">
        <v>232</v>
      </c>
      <c r="C77" s="174" t="s">
        <v>76</v>
      </c>
      <c r="D77" s="171">
        <v>155000</v>
      </c>
      <c r="E77" s="171">
        <v>7500</v>
      </c>
      <c r="F77" s="175">
        <v>44409</v>
      </c>
      <c r="G77" s="116">
        <f>IF(F77="", '4.Escalation'!G$28/'4.Escalation'!D$10, '4.Escalation'!G$28/VLOOKUP(F77,'4.Escalation'!$B$16:$D$27,3,0) )</f>
        <v>1.4128940443907485</v>
      </c>
      <c r="H77" s="116">
        <f>IF($F77="", '4.Escalation'!F$28/'4.Escalation'!C$10, '4.Escalation'!F$28/VLOOKUP(F77,'4.Escalation'!$B$16:$D$27,2,0) )</f>
        <v>1.3151235919899873</v>
      </c>
      <c r="I77" s="48">
        <f t="shared" si="15"/>
        <v>228862</v>
      </c>
      <c r="J77" s="45">
        <v>39</v>
      </c>
      <c r="K77" s="45">
        <f t="shared" si="16"/>
        <v>18</v>
      </c>
      <c r="L77" s="46">
        <f t="shared" si="17"/>
        <v>4119516</v>
      </c>
      <c r="M77" s="178"/>
      <c r="N77" s="174">
        <f>N6*3</f>
        <v>6</v>
      </c>
      <c r="O77" s="174">
        <v>6</v>
      </c>
      <c r="P77" s="174">
        <f>P6*3</f>
        <v>6</v>
      </c>
      <c r="Q77" s="174"/>
      <c r="R77" s="174"/>
      <c r="S77" s="180"/>
      <c r="T77" s="174"/>
      <c r="U77" s="174"/>
      <c r="V77" s="174"/>
      <c r="W77" s="180"/>
      <c r="X77" s="174"/>
      <c r="Y77" s="174"/>
      <c r="Z77" s="174"/>
      <c r="AA77" s="174"/>
      <c r="AB77" s="180"/>
      <c r="AC77" s="174"/>
    </row>
    <row r="78" spans="1:29" ht="14.4">
      <c r="A78" s="172" t="s">
        <v>233</v>
      </c>
      <c r="B78" s="173" t="s">
        <v>234</v>
      </c>
      <c r="C78" s="174" t="s">
        <v>76</v>
      </c>
      <c r="D78" s="171">
        <v>110000</v>
      </c>
      <c r="E78" s="171">
        <v>15000</v>
      </c>
      <c r="F78" s="175">
        <v>44409</v>
      </c>
      <c r="G78" s="116">
        <f>IF(F78="", '4.Escalation'!G$28/'4.Escalation'!D$10, '4.Escalation'!G$28/VLOOKUP(F78,'4.Escalation'!$B$16:$D$27,3,0) )</f>
        <v>1.4128940443907485</v>
      </c>
      <c r="H78" s="116">
        <f>IF($F78="", '4.Escalation'!F$28/'4.Escalation'!C$10, '4.Escalation'!F$28/VLOOKUP(F78,'4.Escalation'!$B$16:$D$27,2,0) )</f>
        <v>1.3151235919899873</v>
      </c>
      <c r="I78" s="48">
        <f t="shared" si="15"/>
        <v>175145.2</v>
      </c>
      <c r="J78" s="45">
        <v>6</v>
      </c>
      <c r="K78" s="45">
        <f t="shared" si="16"/>
        <v>6</v>
      </c>
      <c r="L78" s="46">
        <f t="shared" si="17"/>
        <v>1050871.2000000002</v>
      </c>
      <c r="M78" s="178"/>
      <c r="N78" s="174"/>
      <c r="O78" s="174">
        <v>6</v>
      </c>
      <c r="P78" s="174"/>
      <c r="Q78" s="174"/>
      <c r="R78" s="174"/>
      <c r="S78" s="174"/>
      <c r="T78" s="174"/>
      <c r="U78" s="174"/>
      <c r="V78" s="174"/>
      <c r="W78" s="174"/>
      <c r="X78" s="174"/>
      <c r="Y78" s="174"/>
      <c r="Z78" s="174"/>
      <c r="AA78" s="174"/>
      <c r="AB78" s="174"/>
      <c r="AC78" s="172"/>
    </row>
    <row r="79" spans="1:29" ht="14.4">
      <c r="A79" s="172" t="s">
        <v>235</v>
      </c>
      <c r="B79" s="173" t="s">
        <v>236</v>
      </c>
      <c r="C79" s="174" t="s">
        <v>76</v>
      </c>
      <c r="D79" s="171">
        <v>1000000</v>
      </c>
      <c r="E79" s="171">
        <v>10000</v>
      </c>
      <c r="F79" s="175">
        <v>44409</v>
      </c>
      <c r="G79" s="116">
        <f>IF(F79="", '4.Escalation'!G$28/'4.Escalation'!D$10, '4.Escalation'!G$28/VLOOKUP(F79,'4.Escalation'!$B$16:$D$27,3,0) )</f>
        <v>1.4128940443907485</v>
      </c>
      <c r="H79" s="116">
        <f>IF($F79="", '4.Escalation'!F$28/'4.Escalation'!C$10, '4.Escalation'!F$28/VLOOKUP(F79,'4.Escalation'!$B$16:$D$27,2,0) )</f>
        <v>1.3151235919899873</v>
      </c>
      <c r="I79" s="48">
        <f t="shared" si="15"/>
        <v>1426045.28</v>
      </c>
      <c r="J79" s="45">
        <v>0</v>
      </c>
      <c r="K79" s="45">
        <f t="shared" si="16"/>
        <v>2</v>
      </c>
      <c r="L79" s="46">
        <f t="shared" si="17"/>
        <v>2852090.56</v>
      </c>
      <c r="M79" s="178"/>
      <c r="N79" s="174"/>
      <c r="O79" s="174"/>
      <c r="P79" s="174"/>
      <c r="Q79" s="174"/>
      <c r="R79" s="174"/>
      <c r="S79" s="174"/>
      <c r="T79" s="174"/>
      <c r="U79" s="174"/>
      <c r="V79" s="174">
        <v>2</v>
      </c>
      <c r="W79" s="174"/>
      <c r="X79" s="174"/>
      <c r="Y79" s="174"/>
      <c r="Z79" s="174"/>
      <c r="AA79" s="174"/>
      <c r="AB79" s="174"/>
      <c r="AC79" s="174"/>
    </row>
    <row r="80" spans="1:29" ht="14.4">
      <c r="A80" s="172" t="s">
        <v>237</v>
      </c>
      <c r="B80" s="173" t="s">
        <v>238</v>
      </c>
      <c r="C80" s="174" t="s">
        <v>76</v>
      </c>
      <c r="D80" s="171">
        <v>650000</v>
      </c>
      <c r="E80" s="171">
        <v>8000</v>
      </c>
      <c r="F80" s="175">
        <v>44409</v>
      </c>
      <c r="G80" s="116">
        <f>IF(F80="", '4.Escalation'!G$28/'4.Escalation'!D$10, '4.Escalation'!G$28/VLOOKUP(F80,'4.Escalation'!$B$16:$D$27,3,0) )</f>
        <v>1.4128940443907485</v>
      </c>
      <c r="H80" s="116">
        <f>IF($F80="", '4.Escalation'!F$28/'4.Escalation'!C$10, '4.Escalation'!F$28/VLOOKUP(F80,'4.Escalation'!$B$16:$D$27,2,0) )</f>
        <v>1.3151235919899873</v>
      </c>
      <c r="I80" s="48">
        <f t="shared" si="15"/>
        <v>928902.12</v>
      </c>
      <c r="J80" s="45">
        <v>0</v>
      </c>
      <c r="K80" s="45">
        <f t="shared" si="16"/>
        <v>1</v>
      </c>
      <c r="L80" s="46">
        <f t="shared" si="17"/>
        <v>928902.12</v>
      </c>
      <c r="M80" s="178"/>
      <c r="N80" s="174"/>
      <c r="O80" s="174"/>
      <c r="P80" s="174"/>
      <c r="Q80" s="174"/>
      <c r="R80" s="174"/>
      <c r="S80" s="174"/>
      <c r="T80" s="174"/>
      <c r="U80" s="174"/>
      <c r="V80" s="174"/>
      <c r="W80" s="174">
        <v>1</v>
      </c>
      <c r="X80" s="174"/>
      <c r="Y80" s="174"/>
      <c r="Z80" s="174"/>
      <c r="AA80" s="174"/>
      <c r="AB80" s="174"/>
      <c r="AC80" s="174"/>
    </row>
    <row r="81" spans="1:29" ht="14.4">
      <c r="A81" s="172" t="s">
        <v>239</v>
      </c>
      <c r="B81" s="173" t="s">
        <v>240</v>
      </c>
      <c r="C81" s="174" t="s">
        <v>76</v>
      </c>
      <c r="D81" s="171">
        <v>750000</v>
      </c>
      <c r="E81" s="171">
        <v>8000</v>
      </c>
      <c r="F81" s="175">
        <v>44409</v>
      </c>
      <c r="G81" s="116">
        <f>IF(F81="", '4.Escalation'!G$28/'4.Escalation'!D$10, '4.Escalation'!G$28/VLOOKUP(F81,'4.Escalation'!$B$16:$D$27,3,0) )</f>
        <v>1.4128940443907485</v>
      </c>
      <c r="H81" s="116">
        <f>IF($F81="", '4.Escalation'!F$28/'4.Escalation'!C$10, '4.Escalation'!F$28/VLOOKUP(F81,'4.Escalation'!$B$16:$D$27,2,0) )</f>
        <v>1.3151235919899873</v>
      </c>
      <c r="I81" s="48">
        <f t="shared" si="15"/>
        <v>1070191.52</v>
      </c>
      <c r="J81" s="45">
        <v>0</v>
      </c>
      <c r="K81" s="45">
        <f t="shared" si="16"/>
        <v>4</v>
      </c>
      <c r="L81" s="46">
        <f t="shared" si="17"/>
        <v>4280766.08</v>
      </c>
      <c r="M81" s="178"/>
      <c r="N81" s="174"/>
      <c r="O81" s="174"/>
      <c r="P81" s="174"/>
      <c r="Q81" s="174"/>
      <c r="R81" s="174"/>
      <c r="S81" s="174"/>
      <c r="T81" s="174"/>
      <c r="U81" s="174"/>
      <c r="V81" s="174"/>
      <c r="W81" s="174"/>
      <c r="X81" s="174">
        <v>2</v>
      </c>
      <c r="Y81" s="174"/>
      <c r="Z81" s="174">
        <v>2</v>
      </c>
      <c r="AA81" s="174"/>
      <c r="AB81" s="174"/>
      <c r="AC81" s="174"/>
    </row>
    <row r="82" spans="1:29" ht="14.4">
      <c r="A82" s="172" t="s">
        <v>241</v>
      </c>
      <c r="B82" s="173" t="s">
        <v>242</v>
      </c>
      <c r="C82" s="174" t="s">
        <v>76</v>
      </c>
      <c r="D82" s="171">
        <v>35000</v>
      </c>
      <c r="E82" s="171">
        <v>2000</v>
      </c>
      <c r="F82" s="175">
        <v>44409</v>
      </c>
      <c r="G82" s="116">
        <f>IF(F82="", '4.Escalation'!G$28/'4.Escalation'!D$10, '4.Escalation'!G$28/VLOOKUP(F82,'4.Escalation'!$B$16:$D$27,3,0) )</f>
        <v>1.4128940443907485</v>
      </c>
      <c r="H82" s="116">
        <f>IF($F82="", '4.Escalation'!F$28/'4.Escalation'!C$10, '4.Escalation'!F$28/VLOOKUP(F82,'4.Escalation'!$B$16:$D$27,2,0) )</f>
        <v>1.3151235919899873</v>
      </c>
      <c r="I82" s="48">
        <f t="shared" si="15"/>
        <v>52081.54</v>
      </c>
      <c r="J82" s="45">
        <v>12</v>
      </c>
      <c r="K82" s="45">
        <f t="shared" si="16"/>
        <v>12</v>
      </c>
      <c r="L82" s="46">
        <f t="shared" si="17"/>
        <v>624978.48</v>
      </c>
      <c r="M82" s="178"/>
      <c r="N82" s="174"/>
      <c r="O82" s="174"/>
      <c r="P82" s="174"/>
      <c r="Q82" s="174"/>
      <c r="R82" s="174">
        <v>6</v>
      </c>
      <c r="S82" s="174"/>
      <c r="T82" s="174"/>
      <c r="U82" s="174"/>
      <c r="V82" s="174">
        <v>6</v>
      </c>
      <c r="W82" s="174"/>
      <c r="X82" s="174"/>
      <c r="Y82" s="174"/>
      <c r="Z82" s="174"/>
      <c r="AA82" s="174"/>
      <c r="AB82" s="174"/>
      <c r="AC82" s="172"/>
    </row>
    <row r="83" spans="1:29" ht="14.4">
      <c r="A83" s="172" t="s">
        <v>243</v>
      </c>
      <c r="B83" s="173" t="s">
        <v>244</v>
      </c>
      <c r="C83" s="174" t="s">
        <v>76</v>
      </c>
      <c r="D83" s="171">
        <v>10000000</v>
      </c>
      <c r="E83" s="171">
        <v>120000</v>
      </c>
      <c r="F83" s="175">
        <v>44409</v>
      </c>
      <c r="G83" s="116">
        <f>IF(F83="", '4.Escalation'!G$28/'4.Escalation'!D$10, '4.Escalation'!G$28/VLOOKUP(F83,'4.Escalation'!$B$16:$D$27,3,0) )</f>
        <v>1.4128940443907485</v>
      </c>
      <c r="H83" s="116">
        <f>IF($F83="", '4.Escalation'!F$28/'4.Escalation'!C$10, '4.Escalation'!F$28/VLOOKUP(F83,'4.Escalation'!$B$16:$D$27,2,0) )</f>
        <v>1.3151235919899873</v>
      </c>
      <c r="I83" s="48">
        <f t="shared" si="15"/>
        <v>14286755.27</v>
      </c>
      <c r="J83" s="45">
        <v>4</v>
      </c>
      <c r="K83" s="45">
        <f t="shared" si="16"/>
        <v>2</v>
      </c>
      <c r="L83" s="46">
        <f t="shared" si="17"/>
        <v>28573510.539999999</v>
      </c>
      <c r="M83" s="178"/>
      <c r="N83" s="174"/>
      <c r="O83" s="174"/>
      <c r="P83" s="174"/>
      <c r="Q83" s="174">
        <v>2</v>
      </c>
      <c r="R83" s="174"/>
      <c r="S83" s="174"/>
      <c r="T83" s="174"/>
      <c r="U83" s="174"/>
      <c r="V83" s="174"/>
      <c r="W83" s="174"/>
      <c r="X83" s="174"/>
      <c r="Y83" s="174"/>
      <c r="Z83" s="174"/>
      <c r="AA83" s="174"/>
      <c r="AB83" s="174"/>
      <c r="AC83" s="172"/>
    </row>
    <row r="84" spans="1:29" ht="14.4">
      <c r="A84" s="172" t="s">
        <v>245</v>
      </c>
      <c r="B84" s="173" t="s">
        <v>246</v>
      </c>
      <c r="C84" s="174" t="s">
        <v>76</v>
      </c>
      <c r="D84" s="171">
        <v>8000000</v>
      </c>
      <c r="E84" s="171">
        <v>120000</v>
      </c>
      <c r="F84" s="175">
        <v>44409</v>
      </c>
      <c r="G84" s="116">
        <f>IF(F84="", '4.Escalation'!G$28/'4.Escalation'!D$10, '4.Escalation'!G$28/VLOOKUP(F84,'4.Escalation'!$B$16:$D$27,3,0) )</f>
        <v>1.4128940443907485</v>
      </c>
      <c r="H84" s="116">
        <f>IF($F84="", '4.Escalation'!F$28/'4.Escalation'!C$10, '4.Escalation'!F$28/VLOOKUP(F84,'4.Escalation'!$B$16:$D$27,2,0) )</f>
        <v>1.3151235919899873</v>
      </c>
      <c r="I84" s="48">
        <f t="shared" si="15"/>
        <v>11460967.189999999</v>
      </c>
      <c r="J84" s="45">
        <v>4</v>
      </c>
      <c r="K84" s="45">
        <f t="shared" si="16"/>
        <v>2</v>
      </c>
      <c r="L84" s="46">
        <f t="shared" si="17"/>
        <v>22921934.379999999</v>
      </c>
      <c r="M84" s="178"/>
      <c r="N84" s="174"/>
      <c r="O84" s="174"/>
      <c r="P84" s="174"/>
      <c r="Q84" s="174"/>
      <c r="R84" s="174"/>
      <c r="S84" s="174"/>
      <c r="T84" s="174"/>
      <c r="U84" s="174"/>
      <c r="V84" s="174"/>
      <c r="W84" s="174"/>
      <c r="X84" s="174"/>
      <c r="Y84" s="174"/>
      <c r="Z84" s="174">
        <v>2</v>
      </c>
      <c r="AA84" s="174"/>
      <c r="AB84" s="174"/>
      <c r="AC84" s="172"/>
    </row>
    <row r="85" spans="1:29" ht="14.4">
      <c r="A85" s="172" t="s">
        <v>247</v>
      </c>
      <c r="B85" s="173" t="s">
        <v>248</v>
      </c>
      <c r="C85" s="174" t="s">
        <v>76</v>
      </c>
      <c r="D85" s="171">
        <v>5000000</v>
      </c>
      <c r="E85" s="171">
        <v>120000</v>
      </c>
      <c r="F85" s="175">
        <v>44409</v>
      </c>
      <c r="G85" s="116">
        <f>IF(F85="", '4.Escalation'!G$28/'4.Escalation'!D$10, '4.Escalation'!G$28/VLOOKUP(F85,'4.Escalation'!$B$16:$D$27,3,0) )</f>
        <v>1.4128940443907485</v>
      </c>
      <c r="H85" s="116">
        <f>IF($F85="", '4.Escalation'!F$28/'4.Escalation'!C$10, '4.Escalation'!F$28/VLOOKUP(F85,'4.Escalation'!$B$16:$D$27,2,0) )</f>
        <v>1.3151235919899873</v>
      </c>
      <c r="I85" s="48">
        <f t="shared" si="15"/>
        <v>7222285.0499999998</v>
      </c>
      <c r="J85" s="45">
        <v>4</v>
      </c>
      <c r="K85" s="45">
        <f t="shared" si="16"/>
        <v>2</v>
      </c>
      <c r="L85" s="46">
        <f t="shared" si="17"/>
        <v>14444570.1</v>
      </c>
      <c r="M85" s="178"/>
      <c r="N85" s="174"/>
      <c r="O85" s="174"/>
      <c r="P85" s="174"/>
      <c r="Q85" s="174"/>
      <c r="R85" s="174"/>
      <c r="S85" s="174"/>
      <c r="T85" s="174"/>
      <c r="U85" s="174"/>
      <c r="V85" s="174"/>
      <c r="W85" s="174"/>
      <c r="X85" s="174"/>
      <c r="Y85" s="174">
        <v>2</v>
      </c>
      <c r="Z85" s="174"/>
      <c r="AA85" s="174"/>
      <c r="AB85" s="174"/>
      <c r="AC85" s="172"/>
    </row>
    <row r="86" spans="1:29" ht="14.4">
      <c r="A86" s="172" t="s">
        <v>249</v>
      </c>
      <c r="B86" s="173" t="s">
        <v>250</v>
      </c>
      <c r="C86" s="174" t="s">
        <v>76</v>
      </c>
      <c r="D86" s="171">
        <v>350000</v>
      </c>
      <c r="E86" s="171">
        <v>20000</v>
      </c>
      <c r="F86" s="175">
        <v>44409</v>
      </c>
      <c r="G86" s="116">
        <f>IF(F86="", '4.Escalation'!G$28/'4.Escalation'!D$10, '4.Escalation'!G$28/VLOOKUP(F86,'4.Escalation'!$B$16:$D$27,3,0) )</f>
        <v>1.4128940443907485</v>
      </c>
      <c r="H86" s="116">
        <f>IF($F86="", '4.Escalation'!F$28/'4.Escalation'!C$10, '4.Escalation'!F$28/VLOOKUP(F86,'4.Escalation'!$B$16:$D$27,2,0) )</f>
        <v>1.3151235919899873</v>
      </c>
      <c r="I86" s="48">
        <f t="shared" si="15"/>
        <v>520815.39</v>
      </c>
      <c r="J86" s="45">
        <v>4</v>
      </c>
      <c r="K86" s="45">
        <f t="shared" si="16"/>
        <v>2</v>
      </c>
      <c r="L86" s="46">
        <f t="shared" si="17"/>
        <v>1041630.78</v>
      </c>
      <c r="M86" s="178"/>
      <c r="N86" s="174"/>
      <c r="O86" s="174"/>
      <c r="P86" s="174"/>
      <c r="Q86" s="174">
        <v>2</v>
      </c>
      <c r="R86" s="174"/>
      <c r="S86" s="174"/>
      <c r="T86" s="174"/>
      <c r="U86" s="174"/>
      <c r="V86" s="174"/>
      <c r="W86" s="174"/>
      <c r="X86" s="174"/>
      <c r="Y86" s="174"/>
      <c r="Z86" s="174"/>
      <c r="AA86" s="174"/>
      <c r="AB86" s="174"/>
      <c r="AC86" s="172"/>
    </row>
    <row r="87" spans="1:29" ht="14.4">
      <c r="A87" s="172" t="s">
        <v>251</v>
      </c>
      <c r="B87" s="173" t="s">
        <v>252</v>
      </c>
      <c r="C87" s="174" t="s">
        <v>76</v>
      </c>
      <c r="D87" s="171">
        <v>250000</v>
      </c>
      <c r="E87" s="171">
        <v>20000</v>
      </c>
      <c r="F87" s="175">
        <v>44409</v>
      </c>
      <c r="G87" s="116">
        <f>IF(F87="", '4.Escalation'!G$28/'4.Escalation'!D$10, '4.Escalation'!G$28/VLOOKUP(F87,'4.Escalation'!$B$16:$D$27,3,0) )</f>
        <v>1.4128940443907485</v>
      </c>
      <c r="H87" s="116">
        <f>IF($F87="", '4.Escalation'!F$28/'4.Escalation'!C$10, '4.Escalation'!F$28/VLOOKUP(F87,'4.Escalation'!$B$16:$D$27,2,0) )</f>
        <v>1.3151235919899873</v>
      </c>
      <c r="I87" s="48">
        <f t="shared" si="15"/>
        <v>379525.98</v>
      </c>
      <c r="J87" s="45">
        <v>0</v>
      </c>
      <c r="K87" s="45">
        <f t="shared" si="16"/>
        <v>4</v>
      </c>
      <c r="L87" s="46">
        <f t="shared" si="17"/>
        <v>1518103.92</v>
      </c>
      <c r="M87" s="178"/>
      <c r="N87" s="174"/>
      <c r="O87" s="174"/>
      <c r="P87" s="174"/>
      <c r="Q87" s="174"/>
      <c r="R87" s="174"/>
      <c r="S87" s="174"/>
      <c r="T87" s="174"/>
      <c r="U87" s="174"/>
      <c r="V87" s="174"/>
      <c r="W87" s="174"/>
      <c r="X87" s="174"/>
      <c r="Y87" s="174">
        <v>2</v>
      </c>
      <c r="Z87" s="174">
        <v>2</v>
      </c>
      <c r="AA87" s="174"/>
      <c r="AB87" s="174"/>
      <c r="AC87" s="172"/>
    </row>
    <row r="88" spans="1:29" ht="14.4">
      <c r="A88" s="172" t="s">
        <v>253</v>
      </c>
      <c r="B88" s="173" t="s">
        <v>254</v>
      </c>
      <c r="C88" s="174" t="s">
        <v>76</v>
      </c>
      <c r="D88" s="171">
        <v>15000</v>
      </c>
      <c r="E88" s="171">
        <v>600</v>
      </c>
      <c r="F88" s="175">
        <v>44409</v>
      </c>
      <c r="G88" s="116">
        <f>IF(F88="", '4.Escalation'!G$28/'4.Escalation'!D$10, '4.Escalation'!G$28/VLOOKUP(F88,'4.Escalation'!$B$16:$D$27,3,0) )</f>
        <v>1.4128940443907485</v>
      </c>
      <c r="H88" s="116">
        <f>IF($F88="", '4.Escalation'!F$28/'4.Escalation'!C$10, '4.Escalation'!F$28/VLOOKUP(F88,'4.Escalation'!$B$16:$D$27,2,0) )</f>
        <v>1.3151235919899873</v>
      </c>
      <c r="I88" s="48">
        <f t="shared" si="15"/>
        <v>21982.48</v>
      </c>
      <c r="J88" s="45">
        <v>24</v>
      </c>
      <c r="K88" s="45">
        <f t="shared" si="16"/>
        <v>12</v>
      </c>
      <c r="L88" s="46">
        <f t="shared" si="17"/>
        <v>263789.76</v>
      </c>
      <c r="M88" s="178"/>
      <c r="N88" s="174"/>
      <c r="O88" s="174"/>
      <c r="P88" s="174"/>
      <c r="Q88" s="174">
        <v>6</v>
      </c>
      <c r="R88" s="174"/>
      <c r="S88" s="174"/>
      <c r="T88" s="174"/>
      <c r="U88" s="174"/>
      <c r="V88" s="174"/>
      <c r="W88" s="174"/>
      <c r="X88" s="174"/>
      <c r="Y88" s="174"/>
      <c r="Z88" s="174">
        <v>6</v>
      </c>
      <c r="AA88" s="174"/>
      <c r="AB88" s="174"/>
      <c r="AC88" s="172"/>
    </row>
    <row r="89" spans="1:29" ht="14.4">
      <c r="A89" s="172" t="s">
        <v>255</v>
      </c>
      <c r="B89" s="173" t="s">
        <v>256</v>
      </c>
      <c r="C89" s="174" t="s">
        <v>76</v>
      </c>
      <c r="D89" s="171">
        <v>8000</v>
      </c>
      <c r="E89" s="171">
        <v>400</v>
      </c>
      <c r="F89" s="175">
        <v>44409</v>
      </c>
      <c r="G89" s="116">
        <f>IF(F89="", '4.Escalation'!G$28/'4.Escalation'!D$10, '4.Escalation'!G$28/VLOOKUP(F89,'4.Escalation'!$B$16:$D$27,3,0) )</f>
        <v>1.4128940443907485</v>
      </c>
      <c r="H89" s="116">
        <f>IF($F89="", '4.Escalation'!F$28/'4.Escalation'!C$10, '4.Escalation'!F$28/VLOOKUP(F89,'4.Escalation'!$B$16:$D$27,2,0) )</f>
        <v>1.3151235919899873</v>
      </c>
      <c r="I89" s="48">
        <f t="shared" si="15"/>
        <v>11829.2</v>
      </c>
      <c r="J89" s="45">
        <v>12</v>
      </c>
      <c r="K89" s="45">
        <f t="shared" si="16"/>
        <v>12</v>
      </c>
      <c r="L89" s="46">
        <f t="shared" si="17"/>
        <v>141950.40000000002</v>
      </c>
      <c r="M89" s="178"/>
      <c r="N89" s="174"/>
      <c r="O89" s="174"/>
      <c r="P89" s="174"/>
      <c r="Q89" s="174">
        <v>6</v>
      </c>
      <c r="R89" s="174"/>
      <c r="S89" s="174"/>
      <c r="T89" s="174"/>
      <c r="U89" s="174"/>
      <c r="V89" s="174"/>
      <c r="W89" s="174"/>
      <c r="X89" s="174"/>
      <c r="Y89" s="174">
        <v>6</v>
      </c>
      <c r="Z89" s="174"/>
      <c r="AA89" s="174"/>
      <c r="AB89" s="174"/>
      <c r="AC89" s="172"/>
    </row>
    <row r="90" spans="1:29" ht="14.4">
      <c r="A90" s="172" t="s">
        <v>257</v>
      </c>
      <c r="B90" s="173" t="s">
        <v>258</v>
      </c>
      <c r="C90" s="174" t="s">
        <v>76</v>
      </c>
      <c r="D90" s="171">
        <v>8000</v>
      </c>
      <c r="E90" s="171">
        <v>400</v>
      </c>
      <c r="F90" s="175">
        <v>44409</v>
      </c>
      <c r="G90" s="116">
        <f>IF(F90="", '4.Escalation'!G$28/'4.Escalation'!D$10, '4.Escalation'!G$28/VLOOKUP(F90,'4.Escalation'!$B$16:$D$27,3,0) )</f>
        <v>1.4128940443907485</v>
      </c>
      <c r="H90" s="116">
        <f>IF($F90="", '4.Escalation'!F$28/'4.Escalation'!C$10, '4.Escalation'!F$28/VLOOKUP(F90,'4.Escalation'!$B$16:$D$27,2,0) )</f>
        <v>1.3151235919899873</v>
      </c>
      <c r="I90" s="48">
        <f t="shared" si="15"/>
        <v>11829.2</v>
      </c>
      <c r="J90" s="45">
        <v>12</v>
      </c>
      <c r="K90" s="45">
        <f t="shared" si="16"/>
        <v>12</v>
      </c>
      <c r="L90" s="46">
        <f t="shared" si="17"/>
        <v>141950.40000000002</v>
      </c>
      <c r="M90" s="178"/>
      <c r="N90" s="174"/>
      <c r="O90" s="174"/>
      <c r="P90" s="174"/>
      <c r="Q90" s="174"/>
      <c r="R90" s="174"/>
      <c r="S90" s="174"/>
      <c r="T90" s="174"/>
      <c r="U90" s="174"/>
      <c r="V90" s="174"/>
      <c r="W90" s="174"/>
      <c r="X90" s="174"/>
      <c r="Y90" s="174">
        <v>6</v>
      </c>
      <c r="Z90" s="174">
        <v>6</v>
      </c>
      <c r="AA90" s="174"/>
      <c r="AB90" s="174"/>
      <c r="AC90" s="172"/>
    </row>
    <row r="91" spans="1:29" ht="14.4">
      <c r="A91" s="172" t="s">
        <v>259</v>
      </c>
      <c r="B91" s="173" t="s">
        <v>500</v>
      </c>
      <c r="C91" s="174" t="s">
        <v>76</v>
      </c>
      <c r="D91" s="171">
        <v>2500</v>
      </c>
      <c r="E91" s="171">
        <v>500</v>
      </c>
      <c r="F91" s="175">
        <v>44409</v>
      </c>
      <c r="G91" s="116">
        <f>IF(F91="", '4.Escalation'!G$28/'4.Escalation'!D$10, '4.Escalation'!G$28/VLOOKUP(F91,'4.Escalation'!$B$16:$D$27,3,0) )</f>
        <v>1.4128940443907485</v>
      </c>
      <c r="H91" s="116">
        <f>IF($F91="", '4.Escalation'!F$28/'4.Escalation'!C$10, '4.Escalation'!F$28/VLOOKUP(F91,'4.Escalation'!$B$16:$D$27,2,0) )</f>
        <v>1.3151235919899873</v>
      </c>
      <c r="I91" s="48">
        <f t="shared" si="15"/>
        <v>4189.8</v>
      </c>
      <c r="J91" s="45">
        <v>32</v>
      </c>
      <c r="K91" s="45">
        <f t="shared" si="16"/>
        <v>32</v>
      </c>
      <c r="L91" s="46">
        <f t="shared" si="17"/>
        <v>134073.60000000001</v>
      </c>
      <c r="M91" s="178"/>
      <c r="N91" s="174"/>
      <c r="O91" s="181">
        <v>8</v>
      </c>
      <c r="P91" s="181"/>
      <c r="Q91" s="181"/>
      <c r="R91" s="181"/>
      <c r="S91" s="181">
        <v>8</v>
      </c>
      <c r="T91" s="181"/>
      <c r="U91" s="181"/>
      <c r="V91" s="181"/>
      <c r="W91" s="181">
        <v>8</v>
      </c>
      <c r="X91" s="181"/>
      <c r="Y91" s="181"/>
      <c r="Z91" s="181"/>
      <c r="AA91" s="181"/>
      <c r="AB91" s="181">
        <v>8</v>
      </c>
      <c r="AC91" s="181"/>
    </row>
    <row r="92" spans="1:29">
      <c r="A92" s="172"/>
      <c r="B92" s="173"/>
      <c r="C92" s="174"/>
      <c r="D92" s="171"/>
      <c r="E92" s="171"/>
      <c r="F92" s="171"/>
      <c r="G92" s="44"/>
      <c r="H92" s="44"/>
      <c r="I92" s="48"/>
      <c r="J92" s="45">
        <v>0</v>
      </c>
      <c r="K92" s="45"/>
      <c r="L92" s="46"/>
      <c r="M92" s="178"/>
      <c r="N92" s="174"/>
      <c r="O92" s="174"/>
      <c r="P92" s="174"/>
      <c r="Q92" s="174"/>
      <c r="R92" s="174"/>
      <c r="S92" s="174"/>
      <c r="T92" s="174"/>
      <c r="U92" s="174"/>
      <c r="V92" s="174"/>
      <c r="W92" s="174"/>
      <c r="X92" s="174"/>
      <c r="Y92" s="174"/>
      <c r="Z92" s="174"/>
      <c r="AA92" s="174"/>
      <c r="AB92" s="174"/>
      <c r="AC92" s="172"/>
    </row>
    <row r="93" spans="1:29">
      <c r="A93" s="172">
        <v>3.5</v>
      </c>
      <c r="B93" s="176" t="s">
        <v>260</v>
      </c>
      <c r="C93" s="174"/>
      <c r="D93" s="171"/>
      <c r="E93" s="171"/>
      <c r="F93" s="171"/>
      <c r="G93" s="44"/>
      <c r="H93" s="44"/>
      <c r="I93" s="48"/>
      <c r="J93" s="45">
        <v>0</v>
      </c>
      <c r="K93" s="45"/>
      <c r="L93" s="46"/>
      <c r="M93" s="178"/>
      <c r="N93" s="174"/>
      <c r="O93" s="174"/>
      <c r="P93" s="174"/>
      <c r="Q93" s="174"/>
      <c r="R93" s="174"/>
      <c r="S93" s="174"/>
      <c r="T93" s="174"/>
      <c r="U93" s="174"/>
      <c r="V93" s="174"/>
      <c r="W93" s="174"/>
      <c r="X93" s="174"/>
      <c r="Y93" s="174"/>
      <c r="Z93" s="174"/>
      <c r="AA93" s="174"/>
      <c r="AB93" s="174"/>
      <c r="AC93" s="172"/>
    </row>
    <row r="94" spans="1:29" ht="14.4">
      <c r="A94" s="172" t="s">
        <v>261</v>
      </c>
      <c r="B94" s="173" t="s">
        <v>501</v>
      </c>
      <c r="C94" s="174" t="s">
        <v>76</v>
      </c>
      <c r="D94" s="171">
        <f>24*700</f>
        <v>16800</v>
      </c>
      <c r="E94" s="171">
        <f>24*100</f>
        <v>2400</v>
      </c>
      <c r="F94" s="175">
        <v>44197</v>
      </c>
      <c r="G94" s="116">
        <f>IF(F94="", '4.Escalation'!G$28/'4.Escalation'!D$10, '4.Escalation'!G$28/VLOOKUP(F94,'4.Escalation'!$B$16:$D$27,3,0) )</f>
        <v>1.6888579872234699</v>
      </c>
      <c r="H94" s="116">
        <f>IF($F94="", '4.Escalation'!F$28/'4.Escalation'!C$10, '4.Escalation'!F$28/VLOOKUP(F94,'4.Escalation'!$B$16:$D$27,2,0) )</f>
        <v>1.5590263353115725</v>
      </c>
      <c r="I94" s="48">
        <f>ROUND(D94*G94+E94*H94,2)</f>
        <v>32114.48</v>
      </c>
      <c r="J94" s="45">
        <v>507</v>
      </c>
      <c r="K94" s="45">
        <f>SUM(M94:AC94)</f>
        <v>9</v>
      </c>
      <c r="L94" s="46">
        <f>K94*I94</f>
        <v>289030.32</v>
      </c>
      <c r="M94" s="178"/>
      <c r="N94" s="181">
        <v>2</v>
      </c>
      <c r="O94" s="181">
        <v>1</v>
      </c>
      <c r="P94" s="181">
        <v>2</v>
      </c>
      <c r="Q94" s="181"/>
      <c r="R94" s="181">
        <v>1</v>
      </c>
      <c r="S94" s="181">
        <v>1</v>
      </c>
      <c r="T94" s="181">
        <v>2</v>
      </c>
      <c r="U94" s="181"/>
      <c r="V94" s="181"/>
      <c r="W94" s="181"/>
      <c r="X94" s="181"/>
      <c r="Y94" s="181"/>
      <c r="Z94" s="181"/>
      <c r="AA94" s="181"/>
      <c r="AB94" s="181"/>
      <c r="AC94" s="181"/>
    </row>
    <row r="95" spans="1:29">
      <c r="A95" s="172"/>
      <c r="B95" s="173"/>
      <c r="C95" s="174"/>
      <c r="D95" s="171"/>
      <c r="E95" s="171"/>
      <c r="F95" s="171"/>
      <c r="G95" s="44"/>
      <c r="H95" s="44"/>
      <c r="I95" s="48"/>
      <c r="J95" s="45">
        <v>0</v>
      </c>
      <c r="K95" s="45"/>
      <c r="L95" s="46"/>
      <c r="M95" s="178"/>
      <c r="N95" s="174"/>
      <c r="O95" s="174"/>
      <c r="P95" s="174"/>
      <c r="Q95" s="174"/>
      <c r="R95" s="174"/>
      <c r="S95" s="174"/>
      <c r="T95" s="174"/>
      <c r="U95" s="174"/>
      <c r="V95" s="174"/>
      <c r="W95" s="174"/>
      <c r="X95" s="174"/>
      <c r="Y95" s="174"/>
      <c r="Z95" s="174"/>
      <c r="AA95" s="174"/>
      <c r="AB95" s="174"/>
      <c r="AC95" s="172"/>
    </row>
    <row r="96" spans="1:29">
      <c r="A96" s="172">
        <v>3.6</v>
      </c>
      <c r="B96" s="176" t="s">
        <v>262</v>
      </c>
      <c r="C96" s="174"/>
      <c r="D96" s="171"/>
      <c r="E96" s="171"/>
      <c r="F96" s="171"/>
      <c r="G96" s="44"/>
      <c r="H96" s="44"/>
      <c r="I96" s="48"/>
      <c r="J96" s="45">
        <v>0</v>
      </c>
      <c r="K96" s="45"/>
      <c r="L96" s="46"/>
      <c r="M96" s="178"/>
      <c r="N96" s="174"/>
      <c r="O96" s="174"/>
      <c r="P96" s="174"/>
      <c r="Q96" s="174"/>
      <c r="R96" s="174"/>
      <c r="S96" s="174"/>
      <c r="T96" s="174"/>
      <c r="U96" s="174"/>
      <c r="V96" s="174"/>
      <c r="W96" s="174"/>
      <c r="X96" s="174"/>
      <c r="Y96" s="174"/>
      <c r="Z96" s="174"/>
      <c r="AA96" s="174"/>
      <c r="AB96" s="174"/>
      <c r="AC96" s="172"/>
    </row>
    <row r="97" spans="1:29" ht="14.4">
      <c r="A97" s="172" t="s">
        <v>263</v>
      </c>
      <c r="B97" s="173" t="s">
        <v>264</v>
      </c>
      <c r="C97" s="174" t="s">
        <v>81</v>
      </c>
      <c r="D97" s="171">
        <v>200</v>
      </c>
      <c r="E97" s="171">
        <v>95</v>
      </c>
      <c r="F97" s="175">
        <v>44197</v>
      </c>
      <c r="G97" s="116">
        <f>IF(F97="", '4.Escalation'!G$28/'4.Escalation'!D$10, '4.Escalation'!G$28/VLOOKUP(F97,'4.Escalation'!$B$16:$D$27,3,0) )</f>
        <v>1.6888579872234699</v>
      </c>
      <c r="H97" s="116">
        <f>IF($F97="", '4.Escalation'!F$28/'4.Escalation'!C$10, '4.Escalation'!F$28/VLOOKUP(F97,'4.Escalation'!$B$16:$D$27,2,0) )</f>
        <v>1.5590263353115725</v>
      </c>
      <c r="I97" s="48">
        <f t="shared" ref="I97:I100" si="18">ROUND(D97*G97+E97*H97,2)</f>
        <v>485.88</v>
      </c>
      <c r="J97" s="45">
        <v>324</v>
      </c>
      <c r="K97" s="45">
        <f t="shared" ref="K97:K100" si="19">SUM(M97:AC97)</f>
        <v>648</v>
      </c>
      <c r="L97" s="46">
        <f t="shared" ref="L97:L100" si="20">K97*I97</f>
        <v>314850.24</v>
      </c>
      <c r="M97" s="178"/>
      <c r="N97" s="180"/>
      <c r="O97" s="179">
        <f>O$6*$J97</f>
        <v>324</v>
      </c>
      <c r="P97" s="174"/>
      <c r="Q97" s="174"/>
      <c r="R97" s="174"/>
      <c r="S97" s="179">
        <f>S$6*$J97</f>
        <v>324</v>
      </c>
      <c r="T97" s="179"/>
      <c r="U97" s="179"/>
      <c r="V97" s="174"/>
      <c r="W97" s="179"/>
      <c r="X97" s="179"/>
      <c r="Y97" s="179"/>
      <c r="Z97" s="179"/>
      <c r="AA97" s="179"/>
      <c r="AB97" s="179"/>
      <c r="AC97" s="172"/>
    </row>
    <row r="98" spans="1:29" ht="14.4">
      <c r="A98" s="172" t="s">
        <v>265</v>
      </c>
      <c r="B98" s="173" t="s">
        <v>266</v>
      </c>
      <c r="C98" s="174" t="s">
        <v>81</v>
      </c>
      <c r="D98" s="171">
        <v>250</v>
      </c>
      <c r="E98" s="171">
        <v>120</v>
      </c>
      <c r="F98" s="175">
        <v>44197</v>
      </c>
      <c r="G98" s="116">
        <f>IF(F98="", '4.Escalation'!G$28/'4.Escalation'!D$10, '4.Escalation'!G$28/VLOOKUP(F98,'4.Escalation'!$B$16:$D$27,3,0) )</f>
        <v>1.6888579872234699</v>
      </c>
      <c r="H98" s="116">
        <f>IF($F98="", '4.Escalation'!F$28/'4.Escalation'!C$10, '4.Escalation'!F$28/VLOOKUP(F98,'4.Escalation'!$B$16:$D$27,2,0) )</f>
        <v>1.5590263353115725</v>
      </c>
      <c r="I98" s="48">
        <f t="shared" si="18"/>
        <v>609.29999999999995</v>
      </c>
      <c r="J98" s="45">
        <v>222</v>
      </c>
      <c r="K98" s="45">
        <f t="shared" si="19"/>
        <v>444</v>
      </c>
      <c r="L98" s="46">
        <f t="shared" si="20"/>
        <v>270529.19999999995</v>
      </c>
      <c r="M98" s="178"/>
      <c r="N98" s="180"/>
      <c r="O98" s="179">
        <f>O$6*$J98</f>
        <v>222</v>
      </c>
      <c r="P98" s="174"/>
      <c r="Q98" s="174"/>
      <c r="R98" s="174"/>
      <c r="S98" s="179">
        <f>S$6*$J98</f>
        <v>222</v>
      </c>
      <c r="T98" s="179"/>
      <c r="U98" s="179"/>
      <c r="V98" s="174"/>
      <c r="W98" s="179"/>
      <c r="X98" s="179"/>
      <c r="Y98" s="179"/>
      <c r="Z98" s="179"/>
      <c r="AA98" s="179"/>
      <c r="AB98" s="179"/>
      <c r="AC98" s="180"/>
    </row>
    <row r="99" spans="1:29" ht="26.4">
      <c r="A99" s="172" t="s">
        <v>267</v>
      </c>
      <c r="B99" s="173" t="s">
        <v>268</v>
      </c>
      <c r="C99" s="174" t="s">
        <v>76</v>
      </c>
      <c r="D99" s="171">
        <v>5000</v>
      </c>
      <c r="E99" s="171">
        <v>75</v>
      </c>
      <c r="F99" s="175">
        <v>44197</v>
      </c>
      <c r="G99" s="116">
        <f>IF(F99="", '4.Escalation'!G$28/'4.Escalation'!D$10, '4.Escalation'!G$28/VLOOKUP(F99,'4.Escalation'!$B$16:$D$27,3,0) )</f>
        <v>1.6888579872234699</v>
      </c>
      <c r="H99" s="116">
        <f>IF($F99="", '4.Escalation'!F$28/'4.Escalation'!C$10, '4.Escalation'!F$28/VLOOKUP(F99,'4.Escalation'!$B$16:$D$27,2,0) )</f>
        <v>1.5590263353115725</v>
      </c>
      <c r="I99" s="48">
        <f t="shared" si="18"/>
        <v>8561.2199999999993</v>
      </c>
      <c r="J99" s="45">
        <v>21</v>
      </c>
      <c r="K99" s="45">
        <f t="shared" si="19"/>
        <v>21</v>
      </c>
      <c r="L99" s="46">
        <f t="shared" si="20"/>
        <v>179785.62</v>
      </c>
      <c r="M99" s="178"/>
      <c r="N99" s="174"/>
      <c r="O99" s="179">
        <v>21</v>
      </c>
      <c r="P99" s="174"/>
      <c r="Q99" s="174"/>
      <c r="R99" s="174"/>
      <c r="S99" s="174"/>
      <c r="T99" s="174"/>
      <c r="U99" s="174"/>
      <c r="V99" s="174"/>
      <c r="W99" s="174"/>
      <c r="X99" s="174"/>
      <c r="Y99" s="174"/>
      <c r="Z99" s="174"/>
      <c r="AA99" s="174"/>
      <c r="AB99" s="174"/>
      <c r="AC99" s="172"/>
    </row>
    <row r="100" spans="1:29" ht="26.4">
      <c r="A100" s="172" t="s">
        <v>269</v>
      </c>
      <c r="B100" s="173" t="s">
        <v>270</v>
      </c>
      <c r="C100" s="174" t="s">
        <v>76</v>
      </c>
      <c r="D100" s="171">
        <v>7500</v>
      </c>
      <c r="E100" s="171">
        <v>50</v>
      </c>
      <c r="F100" s="175">
        <v>44197</v>
      </c>
      <c r="G100" s="116">
        <f>IF(F100="", '4.Escalation'!G$28/'4.Escalation'!D$10, '4.Escalation'!G$28/VLOOKUP(F100,'4.Escalation'!$B$16:$D$27,3,0) )</f>
        <v>1.6888579872234699</v>
      </c>
      <c r="H100" s="116">
        <f>IF($F100="", '4.Escalation'!F$28/'4.Escalation'!C$10, '4.Escalation'!F$28/VLOOKUP(F100,'4.Escalation'!$B$16:$D$27,2,0) )</f>
        <v>1.5590263353115725</v>
      </c>
      <c r="I100" s="48">
        <f t="shared" si="18"/>
        <v>12744.39</v>
      </c>
      <c r="J100" s="45">
        <v>9</v>
      </c>
      <c r="K100" s="45">
        <f t="shared" si="19"/>
        <v>9</v>
      </c>
      <c r="L100" s="46">
        <f t="shared" si="20"/>
        <v>114699.51</v>
      </c>
      <c r="M100" s="178"/>
      <c r="N100" s="174"/>
      <c r="O100" s="174">
        <v>9</v>
      </c>
      <c r="P100" s="174"/>
      <c r="Q100" s="174"/>
      <c r="R100" s="174"/>
      <c r="S100" s="174"/>
      <c r="T100" s="174"/>
      <c r="U100" s="174"/>
      <c r="V100" s="174"/>
      <c r="W100" s="174"/>
      <c r="X100" s="174"/>
      <c r="Y100" s="174"/>
      <c r="Z100" s="174"/>
      <c r="AA100" s="174"/>
      <c r="AB100" s="174"/>
      <c r="AC100" s="172"/>
    </row>
    <row r="101" spans="1:29">
      <c r="A101" s="172"/>
      <c r="B101" s="173"/>
      <c r="C101" s="174"/>
      <c r="D101" s="171"/>
      <c r="E101" s="171"/>
      <c r="F101" s="171"/>
      <c r="G101" s="44"/>
      <c r="H101" s="44"/>
      <c r="I101" s="48"/>
      <c r="J101" s="45">
        <v>0</v>
      </c>
      <c r="K101" s="45"/>
      <c r="L101" s="46"/>
      <c r="M101" s="178"/>
      <c r="N101" s="174"/>
      <c r="O101" s="174"/>
      <c r="P101" s="174"/>
      <c r="Q101" s="174"/>
      <c r="R101" s="174"/>
      <c r="S101" s="174"/>
      <c r="T101" s="174"/>
      <c r="U101" s="174"/>
      <c r="V101" s="174"/>
      <c r="W101" s="174"/>
      <c r="X101" s="174"/>
      <c r="Y101" s="174"/>
      <c r="Z101" s="174"/>
      <c r="AA101" s="174"/>
      <c r="AB101" s="174"/>
      <c r="AC101" s="172"/>
    </row>
    <row r="102" spans="1:29">
      <c r="A102" s="172">
        <v>3.7</v>
      </c>
      <c r="B102" s="176" t="s">
        <v>271</v>
      </c>
      <c r="C102" s="174"/>
      <c r="D102" s="171"/>
      <c r="E102" s="171"/>
      <c r="F102" s="171"/>
      <c r="G102" s="44"/>
      <c r="H102" s="44"/>
      <c r="I102" s="48"/>
      <c r="J102" s="45">
        <v>0</v>
      </c>
      <c r="K102" s="45"/>
      <c r="L102" s="46"/>
      <c r="M102" s="178"/>
      <c r="N102" s="174"/>
      <c r="O102" s="174"/>
      <c r="P102" s="174"/>
      <c r="Q102" s="174"/>
      <c r="R102" s="174"/>
      <c r="S102" s="174"/>
      <c r="T102" s="174"/>
      <c r="U102" s="174"/>
      <c r="V102" s="174"/>
      <c r="W102" s="174"/>
      <c r="X102" s="174"/>
      <c r="Y102" s="174"/>
      <c r="Z102" s="174"/>
      <c r="AA102" s="174"/>
      <c r="AB102" s="174"/>
      <c r="AC102" s="172"/>
    </row>
    <row r="103" spans="1:29" ht="14.4">
      <c r="A103" s="172" t="s">
        <v>272</v>
      </c>
      <c r="B103" s="173" t="s">
        <v>273</v>
      </c>
      <c r="C103" s="174" t="s">
        <v>76</v>
      </c>
      <c r="D103" s="171">
        <v>980000</v>
      </c>
      <c r="E103" s="171">
        <v>50000</v>
      </c>
      <c r="F103" s="175">
        <v>44409</v>
      </c>
      <c r="G103" s="116">
        <f>IF(F103="", '4.Escalation'!G$28/'4.Escalation'!D$10, '4.Escalation'!G$28/VLOOKUP(F103,'4.Escalation'!$B$16:$D$27,3,0) )</f>
        <v>1.4128940443907485</v>
      </c>
      <c r="H103" s="116">
        <f>IF($F103="", '4.Escalation'!F$28/'4.Escalation'!C$10, '4.Escalation'!F$28/VLOOKUP(F103,'4.Escalation'!$B$16:$D$27,2,0) )</f>
        <v>1.3151235919899873</v>
      </c>
      <c r="I103" s="48">
        <f t="shared" ref="I103:I110" si="21">ROUND(D103*G103+E103*H103,2)</f>
        <v>1450392.34</v>
      </c>
      <c r="J103" s="45">
        <v>4</v>
      </c>
      <c r="K103" s="45">
        <f t="shared" ref="K103:K110" si="22">SUM(M103:AC103)</f>
        <v>6</v>
      </c>
      <c r="L103" s="46">
        <f t="shared" ref="L103:L110" si="23">K103*I103</f>
        <v>8702354.040000001</v>
      </c>
      <c r="M103" s="178"/>
      <c r="N103" s="174">
        <v>2</v>
      </c>
      <c r="O103" s="174"/>
      <c r="P103" s="174">
        <v>4</v>
      </c>
      <c r="Q103" s="174"/>
      <c r="R103" s="174"/>
      <c r="S103" s="174"/>
      <c r="T103" s="174"/>
      <c r="U103" s="174"/>
      <c r="V103" s="174"/>
      <c r="W103" s="174"/>
      <c r="X103" s="174"/>
      <c r="Y103" s="174"/>
      <c r="Z103" s="174"/>
      <c r="AA103" s="180"/>
      <c r="AB103" s="174"/>
      <c r="AC103" s="172"/>
    </row>
    <row r="104" spans="1:29" ht="14.4">
      <c r="A104" s="172" t="s">
        <v>274</v>
      </c>
      <c r="B104" s="173" t="s">
        <v>275</v>
      </c>
      <c r="C104" s="174" t="s">
        <v>76</v>
      </c>
      <c r="D104" s="171">
        <v>1020000</v>
      </c>
      <c r="E104" s="171">
        <v>85000</v>
      </c>
      <c r="F104" s="175">
        <v>44409</v>
      </c>
      <c r="G104" s="116">
        <f>IF(F104="", '4.Escalation'!G$28/'4.Escalation'!D$10, '4.Escalation'!G$28/VLOOKUP(F104,'4.Escalation'!$B$16:$D$27,3,0) )</f>
        <v>1.4128940443907485</v>
      </c>
      <c r="H104" s="116">
        <f>IF($F104="", '4.Escalation'!F$28/'4.Escalation'!C$10, '4.Escalation'!F$28/VLOOKUP(F104,'4.Escalation'!$B$16:$D$27,2,0) )</f>
        <v>1.3151235919899873</v>
      </c>
      <c r="I104" s="48">
        <f t="shared" si="21"/>
        <v>1552937.43</v>
      </c>
      <c r="J104" s="45">
        <v>8</v>
      </c>
      <c r="K104" s="45">
        <f t="shared" si="22"/>
        <v>6</v>
      </c>
      <c r="L104" s="46">
        <f t="shared" si="23"/>
        <v>9317624.5800000001</v>
      </c>
      <c r="M104" s="178"/>
      <c r="N104" s="174"/>
      <c r="O104" s="180"/>
      <c r="P104" s="180"/>
      <c r="Q104" s="180">
        <f>Q6</f>
        <v>2</v>
      </c>
      <c r="R104" s="174"/>
      <c r="S104" s="180"/>
      <c r="T104" s="174"/>
      <c r="U104" s="174"/>
      <c r="V104" s="174"/>
      <c r="W104" s="180"/>
      <c r="X104" s="174"/>
      <c r="Y104" s="174">
        <v>2</v>
      </c>
      <c r="Z104" s="174">
        <v>2</v>
      </c>
      <c r="AA104" s="174"/>
      <c r="AB104" s="180"/>
      <c r="AC104" s="174"/>
    </row>
    <row r="105" spans="1:29" ht="14.4">
      <c r="A105" s="172" t="s">
        <v>276</v>
      </c>
      <c r="B105" s="173" t="s">
        <v>277</v>
      </c>
      <c r="C105" s="174" t="s">
        <v>76</v>
      </c>
      <c r="D105" s="171">
        <v>330000</v>
      </c>
      <c r="E105" s="171">
        <v>25000</v>
      </c>
      <c r="F105" s="175">
        <v>44409</v>
      </c>
      <c r="G105" s="116">
        <f>IF(F105="", '4.Escalation'!G$28/'4.Escalation'!D$10, '4.Escalation'!G$28/VLOOKUP(F105,'4.Escalation'!$B$16:$D$27,3,0) )</f>
        <v>1.4128940443907485</v>
      </c>
      <c r="H105" s="116">
        <f>IF($F105="", '4.Escalation'!F$28/'4.Escalation'!C$10, '4.Escalation'!F$28/VLOOKUP(F105,'4.Escalation'!$B$16:$D$27,2,0) )</f>
        <v>1.3151235919899873</v>
      </c>
      <c r="I105" s="48">
        <f t="shared" si="21"/>
        <v>499133.12</v>
      </c>
      <c r="J105" s="45">
        <v>13</v>
      </c>
      <c r="K105" s="45">
        <f t="shared" si="22"/>
        <v>21</v>
      </c>
      <c r="L105" s="46">
        <f t="shared" si="23"/>
        <v>10481795.52</v>
      </c>
      <c r="M105" s="178"/>
      <c r="N105" s="174"/>
      <c r="O105" s="174"/>
      <c r="P105" s="174"/>
      <c r="Q105" s="174"/>
      <c r="R105" s="174">
        <f>R6</f>
        <v>2</v>
      </c>
      <c r="S105" s="174">
        <f>S6</f>
        <v>1</v>
      </c>
      <c r="T105" s="174">
        <f>T6</f>
        <v>2</v>
      </c>
      <c r="U105" s="174"/>
      <c r="V105" s="174">
        <f>V6</f>
        <v>2</v>
      </c>
      <c r="W105" s="174">
        <f>W6</f>
        <v>1</v>
      </c>
      <c r="X105" s="174">
        <v>2</v>
      </c>
      <c r="Y105" s="174"/>
      <c r="Z105" s="174"/>
      <c r="AA105" s="174">
        <v>2</v>
      </c>
      <c r="AB105" s="174">
        <v>1</v>
      </c>
      <c r="AC105" s="174">
        <v>8</v>
      </c>
    </row>
    <row r="106" spans="1:29" ht="14.4">
      <c r="A106" s="172" t="s">
        <v>278</v>
      </c>
      <c r="B106" s="173" t="s">
        <v>279</v>
      </c>
      <c r="C106" s="174" t="s">
        <v>76</v>
      </c>
      <c r="D106" s="171">
        <v>275000</v>
      </c>
      <c r="E106" s="171">
        <v>12000</v>
      </c>
      <c r="F106" s="175">
        <v>44409</v>
      </c>
      <c r="G106" s="116">
        <f>IF(F106="", '4.Escalation'!G$28/'4.Escalation'!D$10, '4.Escalation'!G$28/VLOOKUP(F106,'4.Escalation'!$B$16:$D$27,3,0) )</f>
        <v>1.4128940443907485</v>
      </c>
      <c r="H106" s="116">
        <f>IF($F106="", '4.Escalation'!F$28/'4.Escalation'!C$10, '4.Escalation'!F$28/VLOOKUP(F106,'4.Escalation'!$B$16:$D$27,2,0) )</f>
        <v>1.3151235919899873</v>
      </c>
      <c r="I106" s="48">
        <f t="shared" si="21"/>
        <v>404327.35</v>
      </c>
      <c r="J106" s="45">
        <v>1</v>
      </c>
      <c r="K106" s="45">
        <f t="shared" si="22"/>
        <v>2</v>
      </c>
      <c r="L106" s="46">
        <f t="shared" si="23"/>
        <v>808654.7</v>
      </c>
      <c r="M106" s="178"/>
      <c r="N106" s="174"/>
      <c r="O106" s="182">
        <v>0.5</v>
      </c>
      <c r="P106" s="174"/>
      <c r="Q106" s="174"/>
      <c r="R106" s="174"/>
      <c r="S106" s="183">
        <v>0.5</v>
      </c>
      <c r="T106" s="174"/>
      <c r="U106" s="174"/>
      <c r="V106" s="174"/>
      <c r="W106" s="183">
        <v>0.5</v>
      </c>
      <c r="X106" s="174"/>
      <c r="Y106" s="174"/>
      <c r="Z106" s="174"/>
      <c r="AA106" s="180"/>
      <c r="AB106" s="183">
        <v>0.5</v>
      </c>
      <c r="AC106" s="172"/>
    </row>
    <row r="107" spans="1:29" ht="14.4">
      <c r="A107" s="172" t="s">
        <v>280</v>
      </c>
      <c r="B107" s="173" t="s">
        <v>281</v>
      </c>
      <c r="C107" s="174" t="s">
        <v>76</v>
      </c>
      <c r="D107" s="171">
        <v>375000</v>
      </c>
      <c r="E107" s="171">
        <v>25000</v>
      </c>
      <c r="F107" s="175">
        <v>44409</v>
      </c>
      <c r="G107" s="116">
        <f>IF(F107="", '4.Escalation'!G$28/'4.Escalation'!D$10, '4.Escalation'!G$28/VLOOKUP(F107,'4.Escalation'!$B$16:$D$27,3,0) )</f>
        <v>1.4128940443907485</v>
      </c>
      <c r="H107" s="116">
        <f>IF($F107="", '4.Escalation'!F$28/'4.Escalation'!C$10, '4.Escalation'!F$28/VLOOKUP(F107,'4.Escalation'!$B$16:$D$27,2,0) )</f>
        <v>1.3151235919899873</v>
      </c>
      <c r="I107" s="48">
        <f t="shared" si="21"/>
        <v>562713.36</v>
      </c>
      <c r="J107" s="45">
        <v>2</v>
      </c>
      <c r="K107" s="45">
        <f t="shared" si="22"/>
        <v>3</v>
      </c>
      <c r="L107" s="46">
        <f t="shared" si="23"/>
        <v>1688140.08</v>
      </c>
      <c r="M107" s="178"/>
      <c r="N107" s="174"/>
      <c r="O107" s="182">
        <v>1</v>
      </c>
      <c r="P107" s="174"/>
      <c r="Q107" s="174"/>
      <c r="R107" s="174"/>
      <c r="S107" s="182">
        <v>1</v>
      </c>
      <c r="T107" s="174"/>
      <c r="U107" s="174"/>
      <c r="V107" s="174"/>
      <c r="W107" s="182">
        <v>1</v>
      </c>
      <c r="X107" s="174"/>
      <c r="Y107" s="174"/>
      <c r="Z107" s="174"/>
      <c r="AA107" s="180"/>
      <c r="AB107" s="174"/>
      <c r="AC107" s="172"/>
    </row>
    <row r="108" spans="1:29" ht="14.4">
      <c r="A108" s="172" t="s">
        <v>282</v>
      </c>
      <c r="B108" s="173" t="s">
        <v>283</v>
      </c>
      <c r="C108" s="174" t="s">
        <v>74</v>
      </c>
      <c r="D108" s="171">
        <v>250000</v>
      </c>
      <c r="E108" s="171">
        <v>100000</v>
      </c>
      <c r="F108" s="175">
        <v>44409</v>
      </c>
      <c r="G108" s="116">
        <f>IF(F108="", '4.Escalation'!G$28/'4.Escalation'!D$10, '4.Escalation'!G$28/VLOOKUP(F108,'4.Escalation'!$B$16:$D$27,3,0) )</f>
        <v>1.4128940443907485</v>
      </c>
      <c r="H108" s="116">
        <f>IF($F108="", '4.Escalation'!F$28/'4.Escalation'!C$10, '4.Escalation'!F$28/VLOOKUP(F108,'4.Escalation'!$B$16:$D$27,2,0) )</f>
        <v>1.3151235919899873</v>
      </c>
      <c r="I108" s="48">
        <f t="shared" si="21"/>
        <v>484735.87</v>
      </c>
      <c r="J108" s="45">
        <v>14.100000000000001</v>
      </c>
      <c r="K108" s="45">
        <f t="shared" si="22"/>
        <v>12.399999999999999</v>
      </c>
      <c r="L108" s="46">
        <f t="shared" si="23"/>
        <v>6010724.7879999997</v>
      </c>
      <c r="M108" s="178"/>
      <c r="N108" s="174">
        <v>2</v>
      </c>
      <c r="O108" s="182"/>
      <c r="P108" s="174">
        <v>2</v>
      </c>
      <c r="Q108" s="174"/>
      <c r="R108" s="174">
        <v>2</v>
      </c>
      <c r="S108" s="182"/>
      <c r="T108" s="174">
        <v>2</v>
      </c>
      <c r="U108" s="174"/>
      <c r="V108" s="174">
        <v>2</v>
      </c>
      <c r="W108" s="182"/>
      <c r="X108" s="174">
        <v>2</v>
      </c>
      <c r="Y108" s="174"/>
      <c r="Z108" s="174"/>
      <c r="AA108" s="182">
        <v>0.2</v>
      </c>
      <c r="AB108" s="182"/>
      <c r="AC108" s="184">
        <v>0.2</v>
      </c>
    </row>
    <row r="109" spans="1:29" ht="14.4">
      <c r="A109" s="172" t="s">
        <v>285</v>
      </c>
      <c r="B109" s="173" t="s">
        <v>286</v>
      </c>
      <c r="C109" s="174" t="s">
        <v>76</v>
      </c>
      <c r="D109" s="171">
        <v>650000</v>
      </c>
      <c r="E109" s="171">
        <v>45000</v>
      </c>
      <c r="F109" s="175">
        <v>44409</v>
      </c>
      <c r="G109" s="116">
        <f>IF(F109="", '4.Escalation'!G$28/'4.Escalation'!D$10, '4.Escalation'!G$28/VLOOKUP(F109,'4.Escalation'!$B$16:$D$27,3,0) )</f>
        <v>1.4128940443907485</v>
      </c>
      <c r="H109" s="116">
        <f>IF($F109="", '4.Escalation'!F$28/'4.Escalation'!C$10, '4.Escalation'!F$28/VLOOKUP(F109,'4.Escalation'!$B$16:$D$27,2,0) )</f>
        <v>1.3151235919899873</v>
      </c>
      <c r="I109" s="48">
        <f t="shared" si="21"/>
        <v>977561.69</v>
      </c>
      <c r="J109" s="45">
        <v>1</v>
      </c>
      <c r="K109" s="45">
        <f t="shared" si="22"/>
        <v>2</v>
      </c>
      <c r="L109" s="46">
        <f t="shared" si="23"/>
        <v>1955123.38</v>
      </c>
      <c r="M109" s="178"/>
      <c r="N109" s="174"/>
      <c r="O109" s="182">
        <v>0.5</v>
      </c>
      <c r="P109" s="174"/>
      <c r="Q109" s="174"/>
      <c r="R109" s="174"/>
      <c r="S109" s="182">
        <v>0.5</v>
      </c>
      <c r="T109" s="174"/>
      <c r="U109" s="174"/>
      <c r="V109" s="174"/>
      <c r="W109" s="182">
        <v>0.5</v>
      </c>
      <c r="X109" s="174"/>
      <c r="Y109" s="174"/>
      <c r="Z109" s="174"/>
      <c r="AA109" s="174"/>
      <c r="AB109" s="182">
        <v>0.5</v>
      </c>
      <c r="AC109" s="174"/>
    </row>
    <row r="110" spans="1:29" ht="26.4">
      <c r="A110" s="172" t="s">
        <v>287</v>
      </c>
      <c r="B110" s="173" t="s">
        <v>288</v>
      </c>
      <c r="C110" s="174" t="s">
        <v>76</v>
      </c>
      <c r="D110" s="171">
        <v>425000</v>
      </c>
      <c r="E110" s="171">
        <v>75000</v>
      </c>
      <c r="F110" s="175">
        <v>44409</v>
      </c>
      <c r="G110" s="116">
        <f>IF(F110="", '4.Escalation'!G$28/'4.Escalation'!D$10, '4.Escalation'!G$28/VLOOKUP(F110,'4.Escalation'!$B$16:$D$27,3,0) )</f>
        <v>1.4128940443907485</v>
      </c>
      <c r="H110" s="116">
        <f>IF($F110="", '4.Escalation'!F$28/'4.Escalation'!C$10, '4.Escalation'!F$28/VLOOKUP(F110,'4.Escalation'!$B$16:$D$27,2,0) )</f>
        <v>1.3151235919899873</v>
      </c>
      <c r="I110" s="48">
        <f t="shared" si="21"/>
        <v>699114.24</v>
      </c>
      <c r="J110" s="45">
        <v>1</v>
      </c>
      <c r="K110" s="45">
        <f t="shared" si="22"/>
        <v>4</v>
      </c>
      <c r="L110" s="46">
        <f t="shared" si="23"/>
        <v>2796456.96</v>
      </c>
      <c r="M110" s="178"/>
      <c r="N110" s="174"/>
      <c r="O110" s="182">
        <v>1</v>
      </c>
      <c r="P110" s="174"/>
      <c r="Q110" s="174"/>
      <c r="R110" s="174"/>
      <c r="S110" s="182">
        <v>1</v>
      </c>
      <c r="T110" s="174"/>
      <c r="U110" s="174"/>
      <c r="V110" s="174"/>
      <c r="W110" s="182">
        <v>1</v>
      </c>
      <c r="X110" s="174"/>
      <c r="Y110" s="174"/>
      <c r="Z110" s="174"/>
      <c r="AA110" s="174"/>
      <c r="AB110" s="182">
        <v>1</v>
      </c>
      <c r="AC110" s="174"/>
    </row>
    <row r="111" spans="1:29">
      <c r="A111" s="172"/>
      <c r="B111" s="173"/>
      <c r="C111" s="174"/>
      <c r="D111" s="171"/>
      <c r="E111" s="171"/>
      <c r="F111" s="171"/>
      <c r="G111" s="44"/>
      <c r="H111" s="44"/>
      <c r="I111" s="48"/>
      <c r="J111" s="45">
        <v>0</v>
      </c>
      <c r="K111" s="45"/>
      <c r="L111" s="46"/>
      <c r="M111" s="178"/>
      <c r="N111" s="174"/>
      <c r="O111" s="174"/>
      <c r="P111" s="174"/>
      <c r="Q111" s="174"/>
      <c r="R111" s="174"/>
      <c r="S111" s="174"/>
      <c r="T111" s="174"/>
      <c r="U111" s="174"/>
      <c r="V111" s="174"/>
      <c r="W111" s="174"/>
      <c r="X111" s="174"/>
      <c r="Y111" s="174"/>
      <c r="Z111" s="174"/>
      <c r="AA111" s="174"/>
      <c r="AB111" s="174"/>
      <c r="AC111" s="172"/>
    </row>
    <row r="112" spans="1:29">
      <c r="A112" s="172">
        <v>3.8</v>
      </c>
      <c r="B112" s="176" t="s">
        <v>289</v>
      </c>
      <c r="C112" s="174"/>
      <c r="D112" s="171"/>
      <c r="E112" s="171"/>
      <c r="F112" s="171"/>
      <c r="G112" s="44"/>
      <c r="H112" s="44"/>
      <c r="I112" s="48"/>
      <c r="J112" s="45">
        <v>0</v>
      </c>
      <c r="K112" s="45"/>
      <c r="L112" s="46"/>
      <c r="M112" s="178"/>
      <c r="N112" s="174"/>
      <c r="O112" s="174"/>
      <c r="P112" s="174"/>
      <c r="Q112" s="174"/>
      <c r="R112" s="174"/>
      <c r="S112" s="174"/>
      <c r="T112" s="174"/>
      <c r="U112" s="174"/>
      <c r="V112" s="174"/>
      <c r="W112" s="174"/>
      <c r="X112" s="174"/>
      <c r="Y112" s="174"/>
      <c r="Z112" s="174"/>
      <c r="AA112" s="174"/>
      <c r="AB112" s="174"/>
      <c r="AC112" s="172"/>
    </row>
    <row r="113" spans="1:29" ht="16.2">
      <c r="A113" s="172" t="s">
        <v>290</v>
      </c>
      <c r="B113" s="173" t="s">
        <v>291</v>
      </c>
      <c r="C113" s="174" t="s">
        <v>81</v>
      </c>
      <c r="D113" s="171">
        <v>1200</v>
      </c>
      <c r="E113" s="171">
        <v>35</v>
      </c>
      <c r="F113" s="175">
        <v>44409</v>
      </c>
      <c r="G113" s="116">
        <f>IF(F113="", '4.Escalation'!G$28/'4.Escalation'!D$10, '4.Escalation'!G$28/VLOOKUP(F113,'4.Escalation'!$B$16:$D$27,3,0) )</f>
        <v>1.4128940443907485</v>
      </c>
      <c r="H113" s="116">
        <f>IF($F113="", '4.Escalation'!F$28/'4.Escalation'!C$10, '4.Escalation'!F$28/VLOOKUP(F113,'4.Escalation'!$B$16:$D$27,2,0) )</f>
        <v>1.3151235919899873</v>
      </c>
      <c r="I113" s="48">
        <f t="shared" ref="I113:I118" si="24">ROUND(D113*G113+E113*H113,2)</f>
        <v>1741.5</v>
      </c>
      <c r="J113" s="45">
        <v>0</v>
      </c>
      <c r="K113" s="45">
        <f>7300*2*3</f>
        <v>43800</v>
      </c>
      <c r="L113" s="46">
        <f>K113*I113</f>
        <v>76277700</v>
      </c>
      <c r="M113" s="178"/>
      <c r="N113" s="180"/>
      <c r="O113" s="180"/>
      <c r="P113" s="180"/>
      <c r="Q113" s="180"/>
      <c r="R113" s="180"/>
      <c r="S113" s="180"/>
      <c r="T113" s="180"/>
      <c r="U113" s="180">
        <f>U6*3</f>
        <v>43800</v>
      </c>
      <c r="V113" s="180"/>
      <c r="W113" s="180"/>
      <c r="X113" s="180"/>
      <c r="Y113" s="180"/>
      <c r="Z113" s="180"/>
      <c r="AA113" s="180"/>
      <c r="AB113" s="180"/>
      <c r="AC113" s="180"/>
    </row>
    <row r="114" spans="1:29" ht="14.4">
      <c r="A114" s="172" t="s">
        <v>292</v>
      </c>
      <c r="B114" s="173" t="s">
        <v>502</v>
      </c>
      <c r="C114" s="174" t="s">
        <v>81</v>
      </c>
      <c r="D114" s="171">
        <v>30</v>
      </c>
      <c r="E114" s="171">
        <v>10</v>
      </c>
      <c r="F114" s="175">
        <v>44409</v>
      </c>
      <c r="G114" s="116">
        <f>IF(F114="", '4.Escalation'!G$28/'4.Escalation'!D$10, '4.Escalation'!G$28/VLOOKUP(F114,'4.Escalation'!$B$16:$D$27,3,0) )</f>
        <v>1.4128940443907485</v>
      </c>
      <c r="H114" s="116">
        <f>IF($F114="", '4.Escalation'!F$28/'4.Escalation'!C$10, '4.Escalation'!F$28/VLOOKUP(F114,'4.Escalation'!$B$16:$D$27,2,0) )</f>
        <v>1.3151235919899873</v>
      </c>
      <c r="I114" s="48">
        <f>ROUND(D114*G114+E114*H114,2)</f>
        <v>55.54</v>
      </c>
      <c r="J114" s="45">
        <f t="shared" ref="J114:J115" si="25">SUM(L114:W114)</f>
        <v>7300</v>
      </c>
      <c r="K114" s="45">
        <f t="shared" ref="K114" si="26">J114*I114</f>
        <v>405442</v>
      </c>
      <c r="L114" s="46"/>
      <c r="M114" s="178"/>
      <c r="N114" s="180"/>
      <c r="O114" s="180"/>
      <c r="P114" s="180"/>
      <c r="Q114" s="180"/>
      <c r="R114" s="180"/>
      <c r="S114" s="180"/>
      <c r="T114" s="180"/>
      <c r="U114" s="180">
        <f>U6/2</f>
        <v>7300</v>
      </c>
      <c r="V114" s="180"/>
      <c r="W114" s="180"/>
      <c r="X114" s="180"/>
      <c r="Y114" s="180"/>
      <c r="Z114" s="180"/>
      <c r="AA114" s="180"/>
      <c r="AB114" s="180"/>
      <c r="AC114" s="180"/>
    </row>
    <row r="115" spans="1:29" ht="14.4">
      <c r="A115" s="172" t="s">
        <v>294</v>
      </c>
      <c r="B115" s="173" t="s">
        <v>295</v>
      </c>
      <c r="C115" s="174" t="s">
        <v>81</v>
      </c>
      <c r="D115" s="171">
        <v>25</v>
      </c>
      <c r="E115" s="171">
        <v>5</v>
      </c>
      <c r="F115" s="175">
        <v>44409</v>
      </c>
      <c r="G115" s="116">
        <f>IF(F115="", '4.Escalation'!G$28/'4.Escalation'!D$10, '4.Escalation'!G$28/VLOOKUP(F115,'4.Escalation'!$B$16:$D$27,3,0) )</f>
        <v>1.4128940443907485</v>
      </c>
      <c r="H115" s="116">
        <f>IF($F115="", '4.Escalation'!F$28/'4.Escalation'!C$10, '4.Escalation'!F$28/VLOOKUP(F115,'4.Escalation'!$B$16:$D$27,2,0) )</f>
        <v>1.3151235919899873</v>
      </c>
      <c r="I115" s="48">
        <f t="shared" si="24"/>
        <v>41.9</v>
      </c>
      <c r="J115" s="45">
        <f t="shared" si="25"/>
        <v>7300</v>
      </c>
      <c r="K115" s="45">
        <f>J115*I115</f>
        <v>305870</v>
      </c>
      <c r="L115" s="46"/>
      <c r="M115" s="178"/>
      <c r="N115" s="180"/>
      <c r="O115" s="180"/>
      <c r="P115" s="180"/>
      <c r="Q115" s="180"/>
      <c r="R115" s="180"/>
      <c r="S115" s="180"/>
      <c r="T115" s="180"/>
      <c r="U115" s="180">
        <f>U114</f>
        <v>7300</v>
      </c>
      <c r="V115" s="180"/>
      <c r="W115" s="180"/>
      <c r="X115" s="180"/>
      <c r="Y115" s="180"/>
      <c r="Z115" s="180"/>
      <c r="AA115" s="180"/>
      <c r="AB115" s="180"/>
      <c r="AC115" s="180"/>
    </row>
    <row r="116" spans="1:29" ht="30.6">
      <c r="A116" s="172" t="s">
        <v>296</v>
      </c>
      <c r="B116" s="173" t="s">
        <v>503</v>
      </c>
      <c r="C116" s="174" t="s">
        <v>76</v>
      </c>
      <c r="D116" s="171">
        <v>5000</v>
      </c>
      <c r="E116" s="171">
        <v>2500</v>
      </c>
      <c r="F116" s="175">
        <v>44409</v>
      </c>
      <c r="G116" s="116">
        <f>IF(F116="", '4.Escalation'!G$28/'4.Escalation'!D$10, '4.Escalation'!G$28/VLOOKUP(F116,'4.Escalation'!$B$16:$D$27,3,0) )</f>
        <v>1.4128940443907485</v>
      </c>
      <c r="H116" s="116">
        <f>IF($F116="", '4.Escalation'!F$28/'4.Escalation'!C$10, '4.Escalation'!F$28/VLOOKUP(F116,'4.Escalation'!$B$16:$D$27,2,0) )</f>
        <v>1.3151235919899873</v>
      </c>
      <c r="I116" s="48">
        <f t="shared" si="24"/>
        <v>10352.280000000001</v>
      </c>
      <c r="J116" s="45">
        <v>0</v>
      </c>
      <c r="K116" s="45">
        <f>4*3</f>
        <v>12</v>
      </c>
      <c r="L116" s="46">
        <f>K116*I116</f>
        <v>124227.36000000002</v>
      </c>
      <c r="M116" s="178"/>
      <c r="N116" s="174"/>
      <c r="O116" s="174"/>
      <c r="P116" s="174"/>
      <c r="Q116" s="174"/>
      <c r="R116" s="174"/>
      <c r="S116" s="174"/>
      <c r="T116" s="174"/>
      <c r="U116" s="180">
        <f>4*3</f>
        <v>12</v>
      </c>
      <c r="V116" s="174"/>
      <c r="W116" s="174"/>
      <c r="X116" s="174"/>
      <c r="Y116" s="174"/>
      <c r="Z116" s="174"/>
      <c r="AA116" s="174"/>
      <c r="AB116" s="174"/>
      <c r="AC116" s="172"/>
    </row>
    <row r="117" spans="1:29" ht="30.6">
      <c r="A117" s="172" t="s">
        <v>297</v>
      </c>
      <c r="B117" s="173" t="s">
        <v>504</v>
      </c>
      <c r="C117" s="174" t="s">
        <v>76</v>
      </c>
      <c r="D117" s="171">
        <v>7500</v>
      </c>
      <c r="E117" s="171">
        <v>2500</v>
      </c>
      <c r="F117" s="175">
        <v>44409</v>
      </c>
      <c r="G117" s="116">
        <f>IF(F117="", '4.Escalation'!G$28/'4.Escalation'!D$10, '4.Escalation'!G$28/VLOOKUP(F117,'4.Escalation'!$B$16:$D$27,3,0) )</f>
        <v>1.4128940443907485</v>
      </c>
      <c r="H117" s="116">
        <f>IF($F117="", '4.Escalation'!F$28/'4.Escalation'!C$10, '4.Escalation'!F$28/VLOOKUP(F117,'4.Escalation'!$B$16:$D$27,2,0) )</f>
        <v>1.3151235919899873</v>
      </c>
      <c r="I117" s="48">
        <f t="shared" si="24"/>
        <v>13884.51</v>
      </c>
      <c r="J117" s="45">
        <v>0</v>
      </c>
      <c r="K117" s="45">
        <f>SUM(M117:AC117)</f>
        <v>0</v>
      </c>
      <c r="L117" s="46">
        <f>K117*I117</f>
        <v>0</v>
      </c>
      <c r="M117" s="178"/>
      <c r="N117" s="174"/>
      <c r="O117" s="174"/>
      <c r="P117" s="174"/>
      <c r="Q117" s="174"/>
      <c r="R117" s="174"/>
      <c r="S117" s="174"/>
      <c r="T117" s="174"/>
      <c r="U117" s="180">
        <f>SUM(W117:AI117)</f>
        <v>0</v>
      </c>
      <c r="V117" s="174"/>
      <c r="W117" s="174"/>
      <c r="X117" s="174"/>
      <c r="Y117" s="174"/>
      <c r="Z117" s="174"/>
      <c r="AA117" s="174"/>
      <c r="AB117" s="174"/>
      <c r="AC117" s="172"/>
    </row>
    <row r="118" spans="1:29" ht="30.6">
      <c r="A118" s="172" t="s">
        <v>298</v>
      </c>
      <c r="B118" s="173" t="s">
        <v>299</v>
      </c>
      <c r="C118" s="174" t="s">
        <v>76</v>
      </c>
      <c r="D118" s="171">
        <v>7500</v>
      </c>
      <c r="E118" s="171">
        <v>3000</v>
      </c>
      <c r="F118" s="175">
        <v>44409</v>
      </c>
      <c r="G118" s="116">
        <f>IF(F118="", '4.Escalation'!G$28/'4.Escalation'!D$10, '4.Escalation'!G$28/VLOOKUP(F118,'4.Escalation'!$B$16:$D$27,3,0) )</f>
        <v>1.4128940443907485</v>
      </c>
      <c r="H118" s="116">
        <f>IF($F118="", '4.Escalation'!F$28/'4.Escalation'!C$10, '4.Escalation'!F$28/VLOOKUP(F118,'4.Escalation'!$B$16:$D$27,2,0) )</f>
        <v>1.3151235919899873</v>
      </c>
      <c r="I118" s="48">
        <f t="shared" si="24"/>
        <v>14542.08</v>
      </c>
      <c r="J118" s="45"/>
      <c r="K118" s="45">
        <f>ROUNDUP(K113/3/2/300,0)*2*3</f>
        <v>150</v>
      </c>
      <c r="L118" s="46">
        <f>K118*I118</f>
        <v>2181312</v>
      </c>
      <c r="M118" s="178"/>
      <c r="N118" s="174"/>
      <c r="O118" s="174"/>
      <c r="P118" s="174"/>
      <c r="Q118" s="174"/>
      <c r="R118" s="174"/>
      <c r="S118" s="174"/>
      <c r="T118" s="174"/>
      <c r="U118" s="180">
        <f>ROUND(U113/3/2/300,0)*2*3</f>
        <v>144</v>
      </c>
      <c r="V118" s="174"/>
      <c r="W118" s="174"/>
      <c r="X118" s="174"/>
      <c r="Y118" s="174"/>
      <c r="Z118" s="174"/>
      <c r="AA118" s="174"/>
      <c r="AB118" s="174"/>
      <c r="AC118" s="172"/>
    </row>
    <row r="119" spans="1:29" ht="14.4">
      <c r="A119" s="172" t="s">
        <v>300</v>
      </c>
      <c r="B119" s="173" t="s">
        <v>301</v>
      </c>
      <c r="C119" s="174" t="s">
        <v>302</v>
      </c>
      <c r="D119" s="171"/>
      <c r="E119" s="171">
        <v>375</v>
      </c>
      <c r="F119" s="175">
        <v>44197</v>
      </c>
      <c r="G119" s="116">
        <f>IF(F119="", '4.Escalation'!G$28/'4.Escalation'!D$10, '4.Escalation'!G$28/VLOOKUP(F119,'4.Escalation'!$B$16:$D$27,3,0) )</f>
        <v>1.6888579872234699</v>
      </c>
      <c r="H119" s="116">
        <f>IF($F119="", '4.Escalation'!F$28/'4.Escalation'!C$10, '4.Escalation'!F$28/VLOOKUP(F119,'4.Escalation'!$B$16:$D$27,2,0) )</f>
        <v>1.5590263353115725</v>
      </c>
      <c r="I119" s="48">
        <f>D119+E119</f>
        <v>375</v>
      </c>
      <c r="J119" s="45"/>
      <c r="K119" s="45">
        <f>K113/3/2*1.2*0.6</f>
        <v>5256</v>
      </c>
      <c r="L119" s="46">
        <f>K119*I119</f>
        <v>1971000</v>
      </c>
      <c r="M119" s="178"/>
      <c r="N119" s="174"/>
      <c r="O119" s="174"/>
      <c r="P119" s="174"/>
      <c r="Q119" s="174"/>
      <c r="R119" s="174"/>
      <c r="S119" s="174"/>
      <c r="T119" s="174"/>
      <c r="U119" s="180">
        <f>U113/3/2*1.2*0.6</f>
        <v>5256</v>
      </c>
      <c r="V119" s="174"/>
      <c r="W119" s="174"/>
      <c r="X119" s="174"/>
      <c r="Y119" s="174"/>
      <c r="Z119" s="174"/>
      <c r="AA119" s="174"/>
      <c r="AB119" s="174"/>
      <c r="AC119" s="172"/>
    </row>
    <row r="120" spans="1:29">
      <c r="A120" s="172"/>
      <c r="B120" s="173"/>
      <c r="C120" s="174"/>
      <c r="D120" s="171"/>
      <c r="E120" s="171"/>
      <c r="F120" s="171"/>
      <c r="G120" s="44"/>
      <c r="H120" s="44"/>
      <c r="I120" s="48"/>
      <c r="J120" s="45">
        <v>0</v>
      </c>
      <c r="K120" s="45"/>
      <c r="L120" s="46"/>
      <c r="M120" s="178"/>
      <c r="N120" s="174"/>
      <c r="O120" s="174"/>
      <c r="P120" s="174"/>
      <c r="Q120" s="174"/>
      <c r="R120" s="174"/>
      <c r="S120" s="174"/>
      <c r="T120" s="174"/>
      <c r="U120" s="174"/>
      <c r="V120" s="174"/>
      <c r="W120" s="174"/>
      <c r="X120" s="174"/>
      <c r="Y120" s="174"/>
      <c r="Z120" s="174"/>
      <c r="AA120" s="174"/>
      <c r="AB120" s="174"/>
      <c r="AC120" s="172"/>
    </row>
    <row r="121" spans="1:29">
      <c r="A121" s="172">
        <v>3.9</v>
      </c>
      <c r="B121" s="176" t="s">
        <v>303</v>
      </c>
      <c r="C121" s="174"/>
      <c r="D121" s="171"/>
      <c r="E121" s="171"/>
      <c r="F121" s="171"/>
      <c r="G121" s="44"/>
      <c r="H121" s="44"/>
      <c r="I121" s="48"/>
      <c r="J121" s="45">
        <v>0</v>
      </c>
      <c r="K121" s="45"/>
      <c r="L121" s="46"/>
      <c r="M121" s="178"/>
      <c r="N121" s="174"/>
      <c r="O121" s="174"/>
      <c r="P121" s="174"/>
      <c r="Q121" s="174"/>
      <c r="R121" s="174"/>
      <c r="S121" s="174"/>
      <c r="T121" s="174"/>
      <c r="U121" s="174"/>
      <c r="V121" s="174"/>
      <c r="W121" s="174"/>
      <c r="X121" s="174"/>
      <c r="Y121" s="174"/>
      <c r="Z121" s="174"/>
      <c r="AA121" s="174"/>
      <c r="AB121" s="174"/>
      <c r="AC121" s="172"/>
    </row>
    <row r="122" spans="1:29" ht="14.4">
      <c r="A122" s="172" t="s">
        <v>285</v>
      </c>
      <c r="B122" s="173" t="s">
        <v>304</v>
      </c>
      <c r="C122" s="174" t="s">
        <v>140</v>
      </c>
      <c r="D122" s="171"/>
      <c r="E122" s="171">
        <v>1450000</v>
      </c>
      <c r="F122" s="175">
        <v>44409</v>
      </c>
      <c r="G122" s="116">
        <f>IF(F122="", '4.Escalation'!G$28/'4.Escalation'!D$10, '4.Escalation'!G$28/VLOOKUP(F122,'4.Escalation'!$B$16:$D$27,3,0) )</f>
        <v>1.4128940443907485</v>
      </c>
      <c r="H122" s="116">
        <f>IF($F122="", '4.Escalation'!F$28/'4.Escalation'!C$10, '4.Escalation'!F$28/VLOOKUP(F122,'4.Escalation'!$B$16:$D$27,2,0) )</f>
        <v>1.3151235919899873</v>
      </c>
      <c r="I122" s="48">
        <f>ROUND(D122*G122+E122*H122,2)</f>
        <v>1906929.21</v>
      </c>
      <c r="J122" s="45">
        <v>1</v>
      </c>
      <c r="K122" s="45">
        <f>SUM(M122:AC122)</f>
        <v>1</v>
      </c>
      <c r="L122" s="46">
        <f>K122*I122</f>
        <v>1906929.21</v>
      </c>
      <c r="M122" s="178"/>
      <c r="N122" s="174"/>
      <c r="O122" s="182">
        <v>0.25</v>
      </c>
      <c r="P122" s="174"/>
      <c r="Q122" s="174"/>
      <c r="R122" s="174"/>
      <c r="S122" s="182">
        <v>0.25</v>
      </c>
      <c r="T122" s="174"/>
      <c r="U122" s="174"/>
      <c r="V122" s="174"/>
      <c r="W122" s="182">
        <v>0.25</v>
      </c>
      <c r="X122" s="174"/>
      <c r="Y122" s="174"/>
      <c r="Z122" s="174"/>
      <c r="AA122" s="174"/>
      <c r="AB122" s="182">
        <v>0.25</v>
      </c>
      <c r="AC122" s="174"/>
    </row>
    <row r="123" spans="1:29">
      <c r="A123" s="172"/>
      <c r="B123" s="173"/>
      <c r="C123" s="174"/>
      <c r="D123" s="171"/>
      <c r="E123" s="171"/>
      <c r="F123" s="171"/>
      <c r="G123" s="44"/>
      <c r="H123" s="44"/>
      <c r="I123" s="48"/>
      <c r="J123" s="45"/>
      <c r="K123" s="45"/>
      <c r="L123" s="46"/>
      <c r="M123" s="178"/>
      <c r="N123" s="174"/>
      <c r="O123" s="182"/>
      <c r="P123" s="174"/>
      <c r="Q123" s="174"/>
      <c r="R123" s="174"/>
      <c r="S123" s="182"/>
      <c r="T123" s="174"/>
      <c r="U123" s="174"/>
      <c r="V123" s="174"/>
      <c r="W123" s="182"/>
      <c r="X123" s="174"/>
      <c r="Y123" s="174"/>
      <c r="Z123" s="174"/>
      <c r="AA123" s="174"/>
      <c r="AB123" s="182"/>
      <c r="AC123" s="174"/>
    </row>
    <row r="124" spans="1:29">
      <c r="A124" s="172">
        <v>4</v>
      </c>
      <c r="B124" s="176" t="s">
        <v>305</v>
      </c>
      <c r="C124" s="174"/>
      <c r="D124" s="171"/>
      <c r="E124" s="171"/>
      <c r="F124" s="171"/>
      <c r="G124" s="44"/>
      <c r="H124" s="44"/>
      <c r="I124" s="48"/>
      <c r="J124" s="45"/>
      <c r="K124" s="45"/>
      <c r="L124" s="46"/>
      <c r="M124" s="178"/>
      <c r="N124" s="174"/>
      <c r="O124" s="182"/>
      <c r="P124" s="174"/>
      <c r="Q124" s="174"/>
      <c r="R124" s="174"/>
      <c r="S124" s="182"/>
      <c r="T124" s="174"/>
      <c r="U124" s="174"/>
      <c r="V124" s="174"/>
      <c r="W124" s="182"/>
      <c r="X124" s="174"/>
      <c r="Y124" s="174"/>
      <c r="Z124" s="174"/>
      <c r="AA124" s="174"/>
      <c r="AB124" s="182"/>
      <c r="AC124" s="174"/>
    </row>
    <row r="125" spans="1:29" ht="14.4">
      <c r="A125" s="172">
        <v>4.0999999999999996</v>
      </c>
      <c r="B125" s="173" t="s">
        <v>505</v>
      </c>
      <c r="C125" s="174" t="s">
        <v>83</v>
      </c>
      <c r="D125" s="171">
        <v>1500000</v>
      </c>
      <c r="E125" s="171">
        <v>1000000</v>
      </c>
      <c r="F125" s="175">
        <v>44409</v>
      </c>
      <c r="G125" s="116">
        <f>IF(F125="", '4.Escalation'!G$28/'4.Escalation'!D$10, '4.Escalation'!G$28/VLOOKUP(F125,'4.Escalation'!$B$16:$D$27,3,0) )</f>
        <v>1.4128940443907485</v>
      </c>
      <c r="H125" s="116">
        <f>IF($F125="", '4.Escalation'!F$28/'4.Escalation'!C$10, '4.Escalation'!F$28/VLOOKUP(F125,'4.Escalation'!$B$16:$D$27,2,0) )</f>
        <v>1.3151235919899873</v>
      </c>
      <c r="I125" s="48">
        <f t="shared" ref="I125:I128" si="27">ROUND(D125*G125+E125*H125,2)</f>
        <v>3434464.66</v>
      </c>
      <c r="J125" s="45">
        <v>1</v>
      </c>
      <c r="K125" s="45">
        <f>SUM(M125:AC125)</f>
        <v>5</v>
      </c>
      <c r="L125" s="46">
        <f>K125*I125</f>
        <v>17172323.300000001</v>
      </c>
      <c r="M125" s="185">
        <v>5</v>
      </c>
      <c r="N125" s="174"/>
      <c r="O125" s="182"/>
      <c r="P125" s="174"/>
      <c r="Q125" s="174"/>
      <c r="R125" s="174"/>
      <c r="S125" s="182"/>
      <c r="T125" s="174"/>
      <c r="U125" s="174"/>
      <c r="V125" s="174"/>
      <c r="W125" s="182"/>
      <c r="X125" s="174"/>
      <c r="Y125" s="174"/>
      <c r="Z125" s="174"/>
      <c r="AA125" s="174"/>
      <c r="AB125" s="182"/>
      <c r="AC125" s="174"/>
    </row>
    <row r="126" spans="1:29" ht="14.4">
      <c r="A126" s="172">
        <v>4.2</v>
      </c>
      <c r="B126" s="173" t="s">
        <v>306</v>
      </c>
      <c r="C126" s="174" t="s">
        <v>140</v>
      </c>
      <c r="D126" s="171"/>
      <c r="E126" s="171">
        <v>300000</v>
      </c>
      <c r="F126" s="175">
        <v>44409</v>
      </c>
      <c r="G126" s="116">
        <f>IF(F126="", '4.Escalation'!G$28/'4.Escalation'!D$10, '4.Escalation'!G$28/VLOOKUP(F126,'4.Escalation'!$B$16:$D$27,3,0) )</f>
        <v>1.4128940443907485</v>
      </c>
      <c r="H126" s="116">
        <f>IF($F126="", '4.Escalation'!F$28/'4.Escalation'!C$10, '4.Escalation'!F$28/VLOOKUP(F126,'4.Escalation'!$B$16:$D$27,2,0) )</f>
        <v>1.3151235919899873</v>
      </c>
      <c r="I126" s="48">
        <f t="shared" si="27"/>
        <v>394537.08</v>
      </c>
      <c r="J126" s="45">
        <v>1</v>
      </c>
      <c r="K126" s="45">
        <f>SUM(M126:AC126)</f>
        <v>1</v>
      </c>
      <c r="L126" s="46">
        <f>K126*I126</f>
        <v>394537.08</v>
      </c>
      <c r="M126" s="182">
        <v>0.2</v>
      </c>
      <c r="N126" s="174"/>
      <c r="O126" s="182">
        <v>0.2</v>
      </c>
      <c r="P126" s="174"/>
      <c r="Q126" s="174"/>
      <c r="R126" s="174"/>
      <c r="S126" s="182">
        <v>0.2</v>
      </c>
      <c r="T126" s="174"/>
      <c r="U126" s="174"/>
      <c r="V126" s="174"/>
      <c r="W126" s="182">
        <v>0.2</v>
      </c>
      <c r="X126" s="174"/>
      <c r="Y126" s="174"/>
      <c r="Z126" s="174"/>
      <c r="AA126" s="174"/>
      <c r="AB126" s="182">
        <v>0.2</v>
      </c>
      <c r="AC126" s="174"/>
    </row>
    <row r="127" spans="1:29" ht="14.4">
      <c r="A127" s="172">
        <v>4.3</v>
      </c>
      <c r="B127" s="173" t="s">
        <v>307</v>
      </c>
      <c r="C127" s="174" t="s">
        <v>140</v>
      </c>
      <c r="D127" s="171"/>
      <c r="E127" s="171">
        <v>300000</v>
      </c>
      <c r="F127" s="175">
        <v>44409</v>
      </c>
      <c r="G127" s="116">
        <f>IF(F127="", '4.Escalation'!G$28/'4.Escalation'!D$10, '4.Escalation'!G$28/VLOOKUP(F127,'4.Escalation'!$B$16:$D$27,3,0) )</f>
        <v>1.4128940443907485</v>
      </c>
      <c r="H127" s="116">
        <f>IF($F127="", '4.Escalation'!F$28/'4.Escalation'!C$10, '4.Escalation'!F$28/VLOOKUP(F127,'4.Escalation'!$B$16:$D$27,2,0) )</f>
        <v>1.3151235919899873</v>
      </c>
      <c r="I127" s="48">
        <f t="shared" si="27"/>
        <v>394537.08</v>
      </c>
      <c r="J127" s="45">
        <v>1</v>
      </c>
      <c r="K127" s="45">
        <f>SUM(M127:AC127)</f>
        <v>1</v>
      </c>
      <c r="L127" s="46">
        <f>K127*I127</f>
        <v>394537.08</v>
      </c>
      <c r="M127" s="182">
        <v>0.2</v>
      </c>
      <c r="N127" s="174"/>
      <c r="O127" s="182">
        <v>0.2</v>
      </c>
      <c r="P127" s="174"/>
      <c r="Q127" s="174"/>
      <c r="R127" s="174"/>
      <c r="S127" s="182">
        <v>0.2</v>
      </c>
      <c r="T127" s="174"/>
      <c r="U127" s="174"/>
      <c r="V127" s="174"/>
      <c r="W127" s="182">
        <v>0.2</v>
      </c>
      <c r="X127" s="174"/>
      <c r="Y127" s="174"/>
      <c r="Z127" s="174"/>
      <c r="AA127" s="174"/>
      <c r="AB127" s="182">
        <v>0.2</v>
      </c>
      <c r="AC127" s="174"/>
    </row>
    <row r="128" spans="1:29" ht="14.4">
      <c r="A128" s="172">
        <v>4.4000000000000004</v>
      </c>
      <c r="B128" s="173" t="s">
        <v>308</v>
      </c>
      <c r="C128" s="174" t="s">
        <v>140</v>
      </c>
      <c r="D128" s="171"/>
      <c r="E128" s="171">
        <v>30000</v>
      </c>
      <c r="F128" s="175">
        <v>44409</v>
      </c>
      <c r="G128" s="116">
        <f>IF(F128="", '4.Escalation'!G$28/'4.Escalation'!D$10, '4.Escalation'!G$28/VLOOKUP(F128,'4.Escalation'!$B$16:$D$27,3,0) )</f>
        <v>1.4128940443907485</v>
      </c>
      <c r="H128" s="116">
        <f>IF($F128="", '4.Escalation'!F$28/'4.Escalation'!C$10, '4.Escalation'!F$28/VLOOKUP(F128,'4.Escalation'!$B$16:$D$27,2,0) )</f>
        <v>1.3151235919899873</v>
      </c>
      <c r="I128" s="48">
        <f t="shared" si="27"/>
        <v>39453.71</v>
      </c>
      <c r="J128" s="45">
        <v>1</v>
      </c>
      <c r="K128" s="45">
        <f>SUM(M128:AC128)</f>
        <v>1</v>
      </c>
      <c r="L128" s="46">
        <f>K128*I128</f>
        <v>39453.71</v>
      </c>
      <c r="M128" s="182">
        <v>0.2</v>
      </c>
      <c r="N128" s="174"/>
      <c r="O128" s="182">
        <v>0.2</v>
      </c>
      <c r="P128" s="174"/>
      <c r="Q128" s="174"/>
      <c r="R128" s="174"/>
      <c r="S128" s="182">
        <v>0.2</v>
      </c>
      <c r="T128" s="174"/>
      <c r="U128" s="174"/>
      <c r="V128" s="174"/>
      <c r="W128" s="182">
        <v>0.2</v>
      </c>
      <c r="X128" s="174"/>
      <c r="Y128" s="174"/>
      <c r="Z128" s="174"/>
      <c r="AA128" s="174"/>
      <c r="AB128" s="182">
        <v>0.2</v>
      </c>
      <c r="AC128" s="172"/>
    </row>
    <row r="129" spans="1:29" ht="14.4">
      <c r="A129" s="172">
        <v>4.5</v>
      </c>
      <c r="B129" s="173" t="s">
        <v>309</v>
      </c>
      <c r="C129" s="174" t="s">
        <v>140</v>
      </c>
      <c r="D129" s="171"/>
      <c r="E129" s="177">
        <f>SUM(L8:L122)*0.05</f>
        <v>13858802.207711998</v>
      </c>
      <c r="F129" s="175"/>
      <c r="G129" s="116"/>
      <c r="H129" s="116"/>
      <c r="I129" s="48">
        <f>E129</f>
        <v>13858802.207711998</v>
      </c>
      <c r="J129" s="45">
        <v>1</v>
      </c>
      <c r="K129" s="45">
        <f>SUM(M129:AC129)</f>
        <v>0.99999999999999989</v>
      </c>
      <c r="L129" s="46">
        <f>K129*I129</f>
        <v>13858802.207711997</v>
      </c>
      <c r="M129" s="186">
        <f>M$137</f>
        <v>6.2985675577485037E-2</v>
      </c>
      <c r="N129" s="186">
        <f t="shared" ref="N129:AC129" si="28">N$137</f>
        <v>3.1153526196712533E-2</v>
      </c>
      <c r="O129" s="186">
        <f t="shared" si="28"/>
        <v>6.0460499122872734E-2</v>
      </c>
      <c r="P129" s="186">
        <f t="shared" si="28"/>
        <v>3.8976565848600264E-2</v>
      </c>
      <c r="Q129" s="186">
        <f t="shared" si="28"/>
        <v>0.12092554040342116</v>
      </c>
      <c r="R129" s="186">
        <f t="shared" si="28"/>
        <v>1.5318561165892433E-2</v>
      </c>
      <c r="S129" s="186">
        <f t="shared" si="28"/>
        <v>4.0457532285106491E-2</v>
      </c>
      <c r="T129" s="186">
        <f t="shared" si="28"/>
        <v>1.4300014374800314E-2</v>
      </c>
      <c r="U129" s="186">
        <f t="shared" si="28"/>
        <v>0.29490491879704528</v>
      </c>
      <c r="V129" s="186">
        <f t="shared" si="28"/>
        <v>1.8644708980523193E-2</v>
      </c>
      <c r="W129" s="186">
        <f t="shared" si="28"/>
        <v>3.1738059416996409E-2</v>
      </c>
      <c r="X129" s="186">
        <f t="shared" si="28"/>
        <v>1.4924002011946757E-2</v>
      </c>
      <c r="Y129" s="186">
        <f t="shared" si="28"/>
        <v>8.2369246356457856E-2</v>
      </c>
      <c r="Z129" s="186">
        <f t="shared" si="28"/>
        <v>0.10865301224057701</v>
      </c>
      <c r="AA129" s="186">
        <f t="shared" si="28"/>
        <v>7.7731442904756601E-3</v>
      </c>
      <c r="AB129" s="186">
        <f t="shared" si="28"/>
        <v>2.8833102885077004E-2</v>
      </c>
      <c r="AC129" s="186">
        <f t="shared" si="28"/>
        <v>2.7581890046009784E-2</v>
      </c>
    </row>
    <row r="130" spans="1:29">
      <c r="A130" s="172"/>
      <c r="B130" s="173"/>
      <c r="C130" s="174"/>
      <c r="D130" s="171"/>
      <c r="E130" s="171"/>
      <c r="F130" s="171"/>
      <c r="G130" s="44"/>
      <c r="H130" s="44"/>
      <c r="I130" s="48"/>
      <c r="J130" s="45">
        <v>0</v>
      </c>
      <c r="K130" s="45"/>
      <c r="L130" s="46"/>
      <c r="M130" s="178"/>
      <c r="N130" s="174"/>
      <c r="O130" s="174"/>
      <c r="P130" s="174"/>
      <c r="Q130" s="174"/>
      <c r="R130" s="174"/>
      <c r="S130" s="174"/>
      <c r="T130" s="174"/>
      <c r="U130" s="174"/>
      <c r="V130" s="174"/>
      <c r="W130" s="174"/>
      <c r="X130" s="174"/>
      <c r="Y130" s="174"/>
      <c r="Z130" s="174"/>
      <c r="AA130" s="174"/>
      <c r="AB130" s="174"/>
      <c r="AC130" s="172"/>
    </row>
    <row r="131" spans="1:29">
      <c r="A131" s="49"/>
      <c r="B131" s="19" t="s">
        <v>310</v>
      </c>
      <c r="C131" s="23"/>
      <c r="D131" s="44"/>
      <c r="E131" s="44"/>
      <c r="F131" s="44"/>
      <c r="G131" s="44"/>
      <c r="H131" s="44"/>
      <c r="I131" s="48"/>
      <c r="J131" s="45">
        <v>0</v>
      </c>
      <c r="K131" s="23"/>
      <c r="L131" s="46">
        <f>SUM(L4:L130)</f>
        <v>309035697.5319519</v>
      </c>
      <c r="M131" s="46">
        <f t="shared" ref="M131:AC131" si="29">SUMPRODUCT($I$8:$I$130, M$8:M$130)</f>
        <v>19504128.997077085</v>
      </c>
      <c r="N131" s="46">
        <f t="shared" si="29"/>
        <v>9646993.3533856254</v>
      </c>
      <c r="O131" s="46">
        <f t="shared" si="29"/>
        <v>18722183.469628528</v>
      </c>
      <c r="P131" s="46">
        <f t="shared" si="29"/>
        <v>12069473.911396967</v>
      </c>
      <c r="Q131" s="46">
        <f t="shared" si="29"/>
        <v>37445773.462699406</v>
      </c>
      <c r="R131" s="46">
        <f t="shared" si="29"/>
        <v>4743541.9290157175</v>
      </c>
      <c r="S131" s="46">
        <f t="shared" si="29"/>
        <v>12528069.61832758</v>
      </c>
      <c r="T131" s="46">
        <f t="shared" si="29"/>
        <v>4428138.9771400867</v>
      </c>
      <c r="U131" s="46">
        <f t="shared" si="29"/>
        <v>91320185.508118689</v>
      </c>
      <c r="V131" s="46">
        <f t="shared" si="29"/>
        <v>5773516.0532131605</v>
      </c>
      <c r="W131" s="46">
        <f t="shared" si="29"/>
        <v>9827999.7683675252</v>
      </c>
      <c r="X131" s="46">
        <f t="shared" si="29"/>
        <v>4621362.8372622747</v>
      </c>
      <c r="Y131" s="46">
        <f t="shared" si="29"/>
        <v>25506440.815293118</v>
      </c>
      <c r="Z131" s="46">
        <f t="shared" si="29"/>
        <v>33645465.373379849</v>
      </c>
      <c r="AA131" s="46">
        <f t="shared" si="29"/>
        <v>2407029.9725184608</v>
      </c>
      <c r="AB131" s="46">
        <f t="shared" si="29"/>
        <v>8928451.6344468817</v>
      </c>
      <c r="AC131" s="46">
        <f t="shared" si="29"/>
        <v>8541001.3706810437</v>
      </c>
    </row>
    <row r="132" spans="1:29">
      <c r="A132" s="53"/>
      <c r="B132" s="22" t="s">
        <v>311</v>
      </c>
      <c r="C132" s="23"/>
      <c r="D132" s="44"/>
      <c r="E132" s="44"/>
      <c r="F132" s="44"/>
      <c r="G132" s="44"/>
      <c r="H132" s="44"/>
      <c r="I132" s="48"/>
      <c r="J132" s="23"/>
      <c r="K132" s="23"/>
      <c r="L132" s="46"/>
      <c r="M132" s="51">
        <f>M125</f>
        <v>5</v>
      </c>
      <c r="N132" s="23">
        <f>N6</f>
        <v>2</v>
      </c>
      <c r="O132" s="23">
        <f>O6</f>
        <v>1</v>
      </c>
      <c r="P132" s="23">
        <f>P6</f>
        <v>2</v>
      </c>
      <c r="Q132" s="23">
        <f>Q6</f>
        <v>2</v>
      </c>
      <c r="R132" s="23">
        <f>R6</f>
        <v>2</v>
      </c>
      <c r="S132" s="23">
        <v>1</v>
      </c>
      <c r="T132" s="23">
        <f>T6</f>
        <v>2</v>
      </c>
      <c r="U132" s="23">
        <f>U6</f>
        <v>14600</v>
      </c>
      <c r="V132" s="23">
        <f>V6</f>
        <v>2</v>
      </c>
      <c r="W132" s="23">
        <v>1</v>
      </c>
      <c r="X132" s="23">
        <f t="shared" ref="X132:AC132" si="30">X6</f>
        <v>2</v>
      </c>
      <c r="Y132" s="23">
        <f t="shared" si="30"/>
        <v>2</v>
      </c>
      <c r="Z132" s="23">
        <f t="shared" si="30"/>
        <v>2</v>
      </c>
      <c r="AA132" s="23">
        <f t="shared" si="30"/>
        <v>2</v>
      </c>
      <c r="AB132" s="23">
        <f t="shared" si="30"/>
        <v>1</v>
      </c>
      <c r="AC132" s="23">
        <f t="shared" si="30"/>
        <v>8</v>
      </c>
    </row>
    <row r="133" spans="1:29">
      <c r="A133" s="53"/>
      <c r="B133" s="22" t="s">
        <v>312</v>
      </c>
      <c r="C133" s="23"/>
      <c r="D133" s="44"/>
      <c r="E133" s="44"/>
      <c r="F133" s="44"/>
      <c r="G133" s="44"/>
      <c r="H133" s="44"/>
      <c r="I133" s="48"/>
      <c r="J133" s="23"/>
      <c r="K133" s="23"/>
      <c r="L133" s="46"/>
      <c r="M133" s="46">
        <f>M131/M132</f>
        <v>3900825.799415417</v>
      </c>
      <c r="N133" s="46">
        <f>N131/N132</f>
        <v>4823496.6766928127</v>
      </c>
      <c r="O133" s="46">
        <f t="shared" ref="O133:AC133" si="31">O131/O132</f>
        <v>18722183.469628528</v>
      </c>
      <c r="P133" s="46">
        <f t="shared" si="31"/>
        <v>6034736.9556984836</v>
      </c>
      <c r="Q133" s="46">
        <f t="shared" si="31"/>
        <v>18722886.731349703</v>
      </c>
      <c r="R133" s="46">
        <f t="shared" si="31"/>
        <v>2371770.9645078587</v>
      </c>
      <c r="S133" s="46">
        <f t="shared" si="31"/>
        <v>12528069.61832758</v>
      </c>
      <c r="T133" s="46">
        <f t="shared" si="31"/>
        <v>2214069.4885700434</v>
      </c>
      <c r="U133" s="46">
        <f t="shared" si="31"/>
        <v>6254.8072265834717</v>
      </c>
      <c r="V133" s="46">
        <f t="shared" si="31"/>
        <v>2886758.0266065802</v>
      </c>
      <c r="W133" s="46">
        <f t="shared" si="31"/>
        <v>9827999.7683675252</v>
      </c>
      <c r="X133" s="46">
        <f t="shared" si="31"/>
        <v>2310681.4186311373</v>
      </c>
      <c r="Y133" s="46">
        <f t="shared" si="31"/>
        <v>12753220.407646559</v>
      </c>
      <c r="Z133" s="46">
        <f t="shared" si="31"/>
        <v>16822732.686689924</v>
      </c>
      <c r="AA133" s="46">
        <f t="shared" si="31"/>
        <v>1203514.9862592304</v>
      </c>
      <c r="AB133" s="46">
        <f t="shared" si="31"/>
        <v>8928451.6344468817</v>
      </c>
      <c r="AC133" s="46">
        <f t="shared" si="31"/>
        <v>1067625.1713351305</v>
      </c>
    </row>
    <row r="134" spans="1:29" ht="52.8">
      <c r="A134" s="53"/>
      <c r="B134" s="22" t="s">
        <v>508</v>
      </c>
      <c r="C134" s="23"/>
      <c r="D134" s="44"/>
      <c r="E134" s="44"/>
      <c r="F134" s="44"/>
      <c r="G134" s="44"/>
      <c r="H134" s="44"/>
      <c r="I134" s="48"/>
      <c r="J134" s="23"/>
      <c r="K134" s="23"/>
      <c r="L134" s="46"/>
      <c r="M134" s="46">
        <f>IF(M133&gt;100000, ROUND(M133,-4), IF(AND(M133&gt;10000, M133&lt;100000), ROUND(M133,-3), IF(M133&lt;10000, ROUND(M133,-2))))</f>
        <v>3900000</v>
      </c>
      <c r="N134" s="46">
        <f t="shared" ref="N134:AC134" si="32">IF(N133&gt;100000, ROUND(N133,-4), IF(AND(N133&gt;10000, N133&lt;100000), ROUND(N133,-3), IF(N133&lt;10000, ROUND(N133,-2))))</f>
        <v>4820000</v>
      </c>
      <c r="O134" s="46">
        <f t="shared" si="32"/>
        <v>18720000</v>
      </c>
      <c r="P134" s="46">
        <f t="shared" si="32"/>
        <v>6030000</v>
      </c>
      <c r="Q134" s="46">
        <f t="shared" si="32"/>
        <v>18720000</v>
      </c>
      <c r="R134" s="46">
        <f t="shared" si="32"/>
        <v>2370000</v>
      </c>
      <c r="S134" s="46">
        <f t="shared" si="32"/>
        <v>12530000</v>
      </c>
      <c r="T134" s="46">
        <f t="shared" si="32"/>
        <v>2210000</v>
      </c>
      <c r="U134" s="46">
        <f t="shared" si="32"/>
        <v>6300</v>
      </c>
      <c r="V134" s="46">
        <f t="shared" si="32"/>
        <v>2890000</v>
      </c>
      <c r="W134" s="46">
        <f t="shared" si="32"/>
        <v>9830000</v>
      </c>
      <c r="X134" s="46">
        <f t="shared" si="32"/>
        <v>2310000</v>
      </c>
      <c r="Y134" s="46">
        <f t="shared" si="32"/>
        <v>12750000</v>
      </c>
      <c r="Z134" s="46">
        <f t="shared" si="32"/>
        <v>16820000</v>
      </c>
      <c r="AA134" s="46">
        <f t="shared" si="32"/>
        <v>1200000</v>
      </c>
      <c r="AB134" s="46">
        <f t="shared" si="32"/>
        <v>8930000</v>
      </c>
      <c r="AC134" s="46">
        <f t="shared" si="32"/>
        <v>1070000</v>
      </c>
    </row>
    <row r="135" spans="1:29">
      <c r="M135" s="57"/>
      <c r="N135" s="58"/>
    </row>
    <row r="136" spans="1:29" ht="14.4">
      <c r="B136" s="60" t="s">
        <v>354</v>
      </c>
      <c r="K136" s="31"/>
      <c r="M136" s="61">
        <f t="shared" ref="M136:AC136" si="33">SUMPRODUCT( M9:M128,$I9:$I128)</f>
        <v>17338028.874000002</v>
      </c>
      <c r="N136" s="61">
        <f t="shared" si="33"/>
        <v>8575612.3399999999</v>
      </c>
      <c r="O136" s="61">
        <f t="shared" si="33"/>
        <v>16642925.076499997</v>
      </c>
      <c r="P136" s="61">
        <f t="shared" si="33"/>
        <v>10729055.74</v>
      </c>
      <c r="Q136" s="61">
        <f t="shared" si="33"/>
        <v>33287100.469999999</v>
      </c>
      <c r="R136" s="61">
        <f t="shared" si="33"/>
        <v>4216731.08</v>
      </c>
      <c r="S136" s="61">
        <f t="shared" si="33"/>
        <v>11136720.476499999</v>
      </c>
      <c r="T136" s="61">
        <f t="shared" si="33"/>
        <v>3936356.3200000003</v>
      </c>
      <c r="U136" s="61">
        <f t="shared" si="33"/>
        <v>81178298.879999995</v>
      </c>
      <c r="V136" s="61">
        <f t="shared" si="33"/>
        <v>5132317.78</v>
      </c>
      <c r="W136" s="61">
        <f t="shared" si="33"/>
        <v>8736516.4464999996</v>
      </c>
      <c r="X136" s="61">
        <f t="shared" si="33"/>
        <v>4108121.0200000005</v>
      </c>
      <c r="Y136" s="61">
        <f t="shared" si="33"/>
        <v>22673732.695</v>
      </c>
      <c r="Z136" s="61">
        <f t="shared" si="33"/>
        <v>29908849.054999996</v>
      </c>
      <c r="AA136" s="61">
        <f t="shared" si="33"/>
        <v>2139708.7340000002</v>
      </c>
      <c r="AB136" s="61">
        <f t="shared" si="33"/>
        <v>7936870.8165000007</v>
      </c>
      <c r="AC136" s="61">
        <f t="shared" si="33"/>
        <v>7592450.2139999997</v>
      </c>
    </row>
    <row r="137" spans="1:29" ht="14.4">
      <c r="B137" s="60" t="s">
        <v>314</v>
      </c>
      <c r="K137" s="31"/>
      <c r="M137" s="62">
        <f>M136/SUM($M$136:$AC$136)</f>
        <v>6.2985675577485037E-2</v>
      </c>
      <c r="N137" s="62">
        <f t="shared" ref="N137:AC137" si="34">N136/SUM($M$136:$AC$136)</f>
        <v>3.1153526196712533E-2</v>
      </c>
      <c r="O137" s="62">
        <f t="shared" si="34"/>
        <v>6.0460499122872734E-2</v>
      </c>
      <c r="P137" s="62">
        <f t="shared" si="34"/>
        <v>3.8976565848600264E-2</v>
      </c>
      <c r="Q137" s="62">
        <f t="shared" si="34"/>
        <v>0.12092554040342116</v>
      </c>
      <c r="R137" s="62">
        <f t="shared" si="34"/>
        <v>1.5318561165892433E-2</v>
      </c>
      <c r="S137" s="62">
        <f t="shared" si="34"/>
        <v>4.0457532285106491E-2</v>
      </c>
      <c r="T137" s="62">
        <f t="shared" si="34"/>
        <v>1.4300014374800314E-2</v>
      </c>
      <c r="U137" s="62">
        <f t="shared" si="34"/>
        <v>0.29490491879704528</v>
      </c>
      <c r="V137" s="62">
        <f t="shared" si="34"/>
        <v>1.8644708980523193E-2</v>
      </c>
      <c r="W137" s="62">
        <f t="shared" si="34"/>
        <v>3.1738059416996409E-2</v>
      </c>
      <c r="X137" s="62">
        <f t="shared" si="34"/>
        <v>1.4924002011946757E-2</v>
      </c>
      <c r="Y137" s="62">
        <f t="shared" si="34"/>
        <v>8.2369246356457856E-2</v>
      </c>
      <c r="Z137" s="62">
        <f t="shared" si="34"/>
        <v>0.10865301224057701</v>
      </c>
      <c r="AA137" s="62">
        <f t="shared" si="34"/>
        <v>7.7731442904756601E-3</v>
      </c>
      <c r="AB137" s="62">
        <f t="shared" si="34"/>
        <v>2.8833102885077004E-2</v>
      </c>
      <c r="AC137" s="62">
        <f t="shared" si="34"/>
        <v>2.7581890046009784E-2</v>
      </c>
    </row>
    <row r="138" spans="1:29" ht="14.4">
      <c r="B138" s="63"/>
    </row>
  </sheetData>
  <pageMargins left="0.70866141732283472" right="0.70866141732283472" top="0.74803149606299213" bottom="0.74803149606299213" header="0.31496062992125984" footer="0.31496062992125984"/>
  <pageSetup paperSize="8" scale="60" fitToHeight="10" orientation="landscape" r:id="rId1"/>
  <headerFooter>
    <oddFooter>&amp;R&amp;A
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896F2-E18F-4E3A-B332-7877E0689920}">
  <sheetPr>
    <pageSetUpPr fitToPage="1"/>
  </sheetPr>
  <dimension ref="A1:W74"/>
  <sheetViews>
    <sheetView workbookViewId="0">
      <selection activeCell="O19" sqref="O19"/>
    </sheetView>
  </sheetViews>
  <sheetFormatPr defaultColWidth="9.109375" defaultRowHeight="13.2"/>
  <cols>
    <col min="1" max="1" width="6.109375" style="32" bestFit="1" customWidth="1"/>
    <col min="2" max="2" width="38.33203125" style="54" customWidth="1"/>
    <col min="3" max="3" width="5" style="30" bestFit="1" customWidth="1"/>
    <col min="4" max="4" width="13.6640625" style="55" customWidth="1"/>
    <col min="5" max="8" width="14.6640625" style="55" customWidth="1"/>
    <col min="9" max="9" width="13.6640625" style="56" bestFit="1" customWidth="1"/>
    <col min="10" max="10" width="10.33203125" style="30" customWidth="1"/>
    <col min="11" max="11" width="16.6640625" style="31" customWidth="1"/>
    <col min="12" max="12" width="18" style="30" bestFit="1" customWidth="1"/>
    <col min="13" max="13" width="14.6640625" style="30" customWidth="1"/>
    <col min="14" max="14" width="15.6640625" style="30" bestFit="1" customWidth="1"/>
    <col min="15" max="15" width="14.6640625" style="59" bestFit="1" customWidth="1"/>
    <col min="16" max="16" width="14.6640625" style="30" customWidth="1"/>
    <col min="17" max="19" width="15.6640625" style="30" bestFit="1" customWidth="1"/>
    <col min="20" max="20" width="14.6640625" style="59" bestFit="1" customWidth="1"/>
    <col min="21" max="23" width="13.33203125" style="30" bestFit="1" customWidth="1"/>
    <col min="24" max="16384" width="9.109375" style="32"/>
  </cols>
  <sheetData>
    <row r="1" spans="1:23" ht="23.4">
      <c r="A1" s="14" t="str">
        <f>'1. Inputs'!B1</f>
        <v>XYZ LOCAL MUNICIPALITY</v>
      </c>
    </row>
    <row r="2" spans="1:23" ht="23.4">
      <c r="A2" s="16" t="s">
        <v>0</v>
      </c>
      <c r="B2" s="33"/>
      <c r="C2" s="33"/>
      <c r="D2" s="33"/>
      <c r="E2" s="33"/>
      <c r="F2" s="33"/>
      <c r="G2" s="33"/>
      <c r="H2" s="33"/>
      <c r="I2" s="28"/>
      <c r="L2" s="31"/>
      <c r="M2" s="31"/>
      <c r="N2" s="31"/>
      <c r="O2" s="31"/>
      <c r="P2" s="31"/>
      <c r="Q2" s="31"/>
      <c r="R2" s="31"/>
      <c r="S2" s="31"/>
      <c r="T2" s="31"/>
      <c r="U2" s="31"/>
      <c r="V2" s="31"/>
      <c r="W2" s="31"/>
    </row>
    <row r="3" spans="1:23" ht="23.4">
      <c r="A3" s="16" t="s">
        <v>315</v>
      </c>
      <c r="B3" s="33"/>
      <c r="C3" s="33"/>
      <c r="D3" s="33"/>
      <c r="E3" s="33"/>
      <c r="F3" s="33"/>
      <c r="G3" s="33"/>
      <c r="H3" s="33"/>
      <c r="I3" s="28"/>
      <c r="J3" s="32"/>
      <c r="K3" s="32"/>
      <c r="L3" s="32"/>
      <c r="M3" s="32"/>
      <c r="N3" s="32"/>
      <c r="O3" s="32"/>
      <c r="P3" s="32"/>
      <c r="Q3" s="32"/>
      <c r="R3" s="32"/>
      <c r="S3" s="32"/>
      <c r="T3" s="32"/>
      <c r="U3" s="32"/>
      <c r="V3" s="32"/>
      <c r="W3" s="32"/>
    </row>
    <row r="4" spans="1:23" ht="23.4">
      <c r="A4" s="34"/>
      <c r="B4" s="33"/>
      <c r="C4" s="33"/>
      <c r="D4" s="33"/>
      <c r="E4" s="33"/>
      <c r="F4" s="33"/>
      <c r="G4" s="33"/>
      <c r="H4" s="33"/>
      <c r="I4" s="28"/>
      <c r="L4" s="31"/>
      <c r="M4" s="31"/>
      <c r="N4" s="31"/>
      <c r="O4" s="31"/>
      <c r="P4" s="31"/>
      <c r="Q4" s="31"/>
      <c r="R4" s="31"/>
      <c r="S4" s="31"/>
      <c r="T4" s="31"/>
      <c r="U4" s="31"/>
      <c r="V4" s="31"/>
      <c r="W4" s="31"/>
    </row>
    <row r="5" spans="1:23" s="33" customFormat="1" ht="14.4">
      <c r="A5" s="64" t="s">
        <v>64</v>
      </c>
      <c r="B5" s="37" t="s">
        <v>65</v>
      </c>
      <c r="C5" s="37" t="s">
        <v>66</v>
      </c>
      <c r="D5" s="37"/>
      <c r="E5" s="37"/>
      <c r="F5" s="37"/>
      <c r="G5" s="37"/>
      <c r="H5" s="37"/>
      <c r="I5" s="20" t="s">
        <v>100</v>
      </c>
      <c r="J5" s="20" t="s">
        <v>67</v>
      </c>
      <c r="K5" s="39" t="s">
        <v>68</v>
      </c>
      <c r="L5" s="20" t="s">
        <v>67</v>
      </c>
      <c r="M5" s="39" t="s">
        <v>68</v>
      </c>
      <c r="N5" s="39" t="s">
        <v>101</v>
      </c>
      <c r="O5" s="39" t="s">
        <v>102</v>
      </c>
      <c r="P5" s="39" t="s">
        <v>103</v>
      </c>
      <c r="Q5" s="39" t="s">
        <v>104</v>
      </c>
      <c r="R5" s="65" t="s">
        <v>105</v>
      </c>
      <c r="S5" s="65" t="s">
        <v>106</v>
      </c>
      <c r="T5" s="39" t="s">
        <v>107</v>
      </c>
      <c r="U5" s="39" t="s">
        <v>108</v>
      </c>
      <c r="V5" s="39" t="s">
        <v>109</v>
      </c>
      <c r="W5" s="39" t="s">
        <v>110</v>
      </c>
    </row>
    <row r="6" spans="1:23" s="35" customFormat="1" ht="39.6">
      <c r="A6" s="40" t="s">
        <v>116</v>
      </c>
      <c r="B6" s="41"/>
      <c r="C6" s="41"/>
      <c r="D6" s="41"/>
      <c r="E6" s="41"/>
      <c r="F6" s="41"/>
      <c r="G6" s="41"/>
      <c r="H6" s="41"/>
      <c r="I6" s="20" t="s">
        <v>316</v>
      </c>
      <c r="J6" s="42"/>
      <c r="L6" s="168">
        <v>2000</v>
      </c>
      <c r="M6" s="168">
        <v>2</v>
      </c>
      <c r="N6" s="168">
        <v>1</v>
      </c>
      <c r="O6" s="169">
        <v>8</v>
      </c>
      <c r="P6" s="168">
        <v>300</v>
      </c>
      <c r="Q6" s="168">
        <v>1</v>
      </c>
      <c r="R6" s="168">
        <v>1</v>
      </c>
      <c r="S6" s="168">
        <v>100</v>
      </c>
      <c r="T6" s="169">
        <v>1</v>
      </c>
      <c r="U6" s="168">
        <v>1</v>
      </c>
      <c r="V6" s="168">
        <v>1</v>
      </c>
      <c r="W6" s="168">
        <v>0.2</v>
      </c>
    </row>
    <row r="7" spans="1:23" s="35" customFormat="1" ht="72">
      <c r="A7" s="71" t="s">
        <v>117</v>
      </c>
      <c r="B7" s="71" t="s">
        <v>118</v>
      </c>
      <c r="C7" s="71" t="s">
        <v>70</v>
      </c>
      <c r="D7" s="71" t="s">
        <v>119</v>
      </c>
      <c r="E7" s="71" t="s">
        <v>120</v>
      </c>
      <c r="F7" s="71" t="s">
        <v>485</v>
      </c>
      <c r="G7" s="71" t="s">
        <v>497</v>
      </c>
      <c r="H7" s="71" t="s">
        <v>498</v>
      </c>
      <c r="I7" s="71" t="s">
        <v>121</v>
      </c>
      <c r="J7" s="71" t="s">
        <v>71</v>
      </c>
      <c r="K7" s="71" t="s">
        <v>123</v>
      </c>
      <c r="L7" s="71" t="s">
        <v>317</v>
      </c>
      <c r="M7" s="71" t="s">
        <v>318</v>
      </c>
      <c r="N7" s="71" t="s">
        <v>319</v>
      </c>
      <c r="O7" s="71" t="s">
        <v>320</v>
      </c>
      <c r="P7" s="71" t="s">
        <v>321</v>
      </c>
      <c r="Q7" s="71" t="s">
        <v>322</v>
      </c>
      <c r="R7" s="71" t="s">
        <v>323</v>
      </c>
      <c r="S7" s="71" t="s">
        <v>324</v>
      </c>
      <c r="T7" s="71" t="s">
        <v>92</v>
      </c>
      <c r="U7" s="71" t="s">
        <v>325</v>
      </c>
      <c r="V7" s="71" t="s">
        <v>326</v>
      </c>
      <c r="W7" s="71" t="s">
        <v>327</v>
      </c>
    </row>
    <row r="8" spans="1:23">
      <c r="A8" s="37">
        <v>1</v>
      </c>
      <c r="B8" s="43" t="s">
        <v>139</v>
      </c>
      <c r="C8" s="23" t="s">
        <v>140</v>
      </c>
      <c r="D8" s="44"/>
      <c r="E8" s="44"/>
      <c r="F8" s="44"/>
      <c r="G8" s="44"/>
      <c r="H8" s="44"/>
      <c r="I8" s="45">
        <f>0.08*SUM(K11:K59)</f>
        <v>1118286.074</v>
      </c>
      <c r="J8" s="50">
        <f>SUM(L8:W8)</f>
        <v>1</v>
      </c>
      <c r="K8" s="46">
        <f>J8*I8</f>
        <v>1118286.074</v>
      </c>
      <c r="L8" s="66">
        <f>L$68</f>
        <v>0.18098894004469196</v>
      </c>
      <c r="M8" s="66">
        <f t="shared" ref="M8:W8" si="0">M$68</f>
        <v>9.6817916736393159E-2</v>
      </c>
      <c r="N8" s="66">
        <f t="shared" si="0"/>
        <v>0.27835547919020226</v>
      </c>
      <c r="O8" s="66">
        <f t="shared" si="0"/>
        <v>0.33894462679323323</v>
      </c>
      <c r="P8" s="66">
        <f t="shared" si="0"/>
        <v>1.7731661746509416E-2</v>
      </c>
      <c r="Q8" s="66">
        <f t="shared" si="0"/>
        <v>3.3412163907533377E-2</v>
      </c>
      <c r="R8" s="66">
        <f t="shared" si="0"/>
        <v>4.5814576065265386E-2</v>
      </c>
      <c r="S8" s="66">
        <f t="shared" si="0"/>
        <v>5.0974015795532479E-3</v>
      </c>
      <c r="T8" s="66">
        <f t="shared" si="0"/>
        <v>1.1048378663794393E-3</v>
      </c>
      <c r="U8" s="66">
        <f t="shared" si="0"/>
        <v>1.7323960702384639E-3</v>
      </c>
      <c r="V8" s="66">
        <f t="shared" si="0"/>
        <v>0</v>
      </c>
      <c r="W8" s="66">
        <f t="shared" si="0"/>
        <v>0</v>
      </c>
    </row>
    <row r="9" spans="1:23">
      <c r="A9" s="37"/>
      <c r="B9" s="20"/>
      <c r="C9" s="20"/>
      <c r="D9" s="44"/>
      <c r="E9" s="44"/>
      <c r="F9" s="44"/>
      <c r="G9" s="44"/>
      <c r="H9" s="44"/>
      <c r="I9" s="48"/>
      <c r="J9" s="45"/>
      <c r="K9" s="46"/>
      <c r="L9" s="23"/>
      <c r="M9" s="23"/>
      <c r="N9" s="23"/>
      <c r="O9" s="49"/>
      <c r="P9" s="23"/>
      <c r="Q9" s="23"/>
      <c r="R9" s="23"/>
      <c r="S9" s="23"/>
      <c r="T9" s="49"/>
      <c r="U9" s="23"/>
      <c r="V9" s="23"/>
      <c r="W9" s="23"/>
    </row>
    <row r="10" spans="1:23">
      <c r="A10" s="169">
        <v>2</v>
      </c>
      <c r="B10" s="176" t="s">
        <v>328</v>
      </c>
      <c r="C10" s="174"/>
      <c r="D10" s="171"/>
      <c r="E10" s="171"/>
      <c r="F10" s="171"/>
      <c r="G10" s="44"/>
      <c r="H10" s="44"/>
      <c r="I10" s="48"/>
      <c r="J10" s="45"/>
      <c r="K10" s="46"/>
      <c r="L10" s="174"/>
      <c r="M10" s="174"/>
      <c r="N10" s="179"/>
      <c r="O10" s="174"/>
      <c r="P10" s="174"/>
      <c r="Q10" s="179"/>
      <c r="R10" s="179"/>
      <c r="S10" s="179"/>
      <c r="T10" s="174"/>
      <c r="U10" s="179"/>
      <c r="V10" s="179"/>
      <c r="W10" s="179"/>
    </row>
    <row r="11" spans="1:23" ht="26.4">
      <c r="A11" s="172">
        <v>2.1</v>
      </c>
      <c r="B11" s="173" t="s">
        <v>150</v>
      </c>
      <c r="C11" s="174" t="s">
        <v>145</v>
      </c>
      <c r="D11" s="171">
        <f t="shared" ref="D11" si="1">0.69*8000</f>
        <v>5520</v>
      </c>
      <c r="E11" s="171">
        <f t="shared" ref="E11" si="2">0.31*8000</f>
        <v>2480</v>
      </c>
      <c r="F11" s="175">
        <v>44197</v>
      </c>
      <c r="G11" s="116">
        <f>IF($F11="", '4.Escalation'!G$28/'4.Escalation'!D$10, '4.Escalation'!G$28/VLOOKUP(F11,'4.Escalation'!$B$16:$D$27,3,0) )</f>
        <v>1.6888579872234699</v>
      </c>
      <c r="H11" s="116">
        <f>IF($F11="", '4.Escalation'!F$28/'4.Escalation'!C$10, '4.Escalation'!F$28/VLOOKUP(F11,'4.Escalation'!$B$16:$D$27,2,0) )</f>
        <v>1.5590263353115725</v>
      </c>
      <c r="I11" s="48">
        <f>ROUND(D11*G11+E11*H11,2)</f>
        <v>13188.88</v>
      </c>
      <c r="J11" s="45">
        <f>SUM(L11:W11)</f>
        <v>72</v>
      </c>
      <c r="K11" s="46">
        <f>J11*I11</f>
        <v>949599.36</v>
      </c>
      <c r="L11" s="174"/>
      <c r="M11" s="179"/>
      <c r="N11" s="179">
        <f>12*6</f>
        <v>72</v>
      </c>
      <c r="O11" s="179"/>
      <c r="P11" s="179"/>
      <c r="Q11" s="179"/>
      <c r="R11" s="179"/>
      <c r="S11" s="179"/>
      <c r="T11" s="179"/>
      <c r="U11" s="179"/>
      <c r="V11" s="179"/>
      <c r="W11" s="179"/>
    </row>
    <row r="12" spans="1:23" ht="15.6">
      <c r="A12" s="172">
        <v>2.2000000000000002</v>
      </c>
      <c r="B12" s="173" t="s">
        <v>144</v>
      </c>
      <c r="C12" s="174" t="s">
        <v>143</v>
      </c>
      <c r="D12" s="171">
        <f>'Detail costing substation works'!D12</f>
        <v>112.09</v>
      </c>
      <c r="E12" s="171">
        <f>'Detail costing substation works'!E12</f>
        <v>100.26</v>
      </c>
      <c r="F12" s="175">
        <v>44197</v>
      </c>
      <c r="G12" s="116">
        <f>IF(F12="", '4.Escalation'!G$28/'4.Escalation'!D$10, '4.Escalation'!G$28/VLOOKUP(F12,'4.Escalation'!$B$16:$D$27,3,0) )</f>
        <v>1.6888579872234699</v>
      </c>
      <c r="H12" s="116">
        <f>IF($F12="", '4.Escalation'!F$28/'4.Escalation'!C$10, '4.Escalation'!F$28/VLOOKUP(F12,'4.Escalation'!$B$16:$D$27,2,0) )</f>
        <v>1.5590263353115725</v>
      </c>
      <c r="I12" s="48">
        <f t="shared" ref="I12:I14" si="3">ROUND(D12*G12+E12*H12,2)</f>
        <v>345.61</v>
      </c>
      <c r="J12" s="45">
        <f>SUM(L12:W12)</f>
        <v>112</v>
      </c>
      <c r="K12" s="46">
        <f>J12*I12</f>
        <v>38708.32</v>
      </c>
      <c r="L12" s="174"/>
      <c r="M12" s="174"/>
      <c r="N12" s="179">
        <f>14*8</f>
        <v>112</v>
      </c>
      <c r="O12" s="180"/>
      <c r="P12" s="174"/>
      <c r="Q12" s="179"/>
      <c r="R12" s="179"/>
      <c r="S12" s="179"/>
      <c r="T12" s="180"/>
      <c r="U12" s="179"/>
      <c r="V12" s="179"/>
      <c r="W12" s="179"/>
    </row>
    <row r="13" spans="1:23" ht="14.4">
      <c r="A13" s="172">
        <v>2.4</v>
      </c>
      <c r="B13" s="173" t="s">
        <v>146</v>
      </c>
      <c r="C13" s="174" t="s">
        <v>147</v>
      </c>
      <c r="D13" s="171">
        <f>'Detail costing substation works'!D13</f>
        <v>78</v>
      </c>
      <c r="E13" s="171">
        <f>'Detail costing substation works'!E13</f>
        <v>12</v>
      </c>
      <c r="F13" s="175">
        <v>44197</v>
      </c>
      <c r="G13" s="116">
        <f>IF(F13="", '4.Escalation'!G$28/'4.Escalation'!D$10, '4.Escalation'!G$28/VLOOKUP(F13,'4.Escalation'!$B$16:$D$27,3,0) )</f>
        <v>1.6888579872234699</v>
      </c>
      <c r="H13" s="116">
        <f>IF($F13="", '4.Escalation'!F$28/'4.Escalation'!C$10, '4.Escalation'!F$28/VLOOKUP(F13,'4.Escalation'!$B$16:$D$27,2,0) )</f>
        <v>1.5590263353115725</v>
      </c>
      <c r="I13" s="48">
        <f t="shared" si="3"/>
        <v>150.44</v>
      </c>
      <c r="J13" s="45">
        <f>SUM(L13:W13)</f>
        <v>280</v>
      </c>
      <c r="K13" s="46">
        <f>J13*I13</f>
        <v>42123.199999999997</v>
      </c>
      <c r="L13" s="179"/>
      <c r="M13" s="179"/>
      <c r="N13" s="179">
        <f>22*16-N11</f>
        <v>280</v>
      </c>
      <c r="O13" s="180"/>
      <c r="P13" s="179"/>
      <c r="Q13" s="179"/>
      <c r="R13" s="179"/>
      <c r="S13" s="179"/>
      <c r="T13" s="180"/>
      <c r="U13" s="179"/>
      <c r="V13" s="179"/>
      <c r="W13" s="179"/>
    </row>
    <row r="14" spans="1:23" ht="14.4">
      <c r="A14" s="172">
        <v>2.5</v>
      </c>
      <c r="B14" s="173" t="s">
        <v>148</v>
      </c>
      <c r="C14" s="174" t="s">
        <v>81</v>
      </c>
      <c r="D14" s="171">
        <f>'Detail costing substation works'!D14</f>
        <v>1213.83</v>
      </c>
      <c r="E14" s="171">
        <f>'Detail costing substation works'!E14</f>
        <v>476.21</v>
      </c>
      <c r="F14" s="175">
        <v>44197</v>
      </c>
      <c r="G14" s="116">
        <f>IF(F14="", '4.Escalation'!G$28/'4.Escalation'!D$10, '4.Escalation'!G$28/VLOOKUP(F14,'4.Escalation'!$B$16:$D$27,3,0) )</f>
        <v>1.6888579872234699</v>
      </c>
      <c r="H14" s="116">
        <f>IF($F14="", '4.Escalation'!F$28/'4.Escalation'!C$10, '4.Escalation'!F$28/VLOOKUP(F14,'4.Escalation'!$B$16:$D$27,2,0) )</f>
        <v>1.5590263353115725</v>
      </c>
      <c r="I14" s="48">
        <f t="shared" si="3"/>
        <v>2792.41</v>
      </c>
      <c r="J14" s="45">
        <f>SUM(L14:W14)</f>
        <v>76</v>
      </c>
      <c r="K14" s="46">
        <f>J14*I14</f>
        <v>212223.15999999997</v>
      </c>
      <c r="L14" s="174"/>
      <c r="M14" s="174"/>
      <c r="N14" s="179">
        <f>22*2+16*2</f>
        <v>76</v>
      </c>
      <c r="O14" s="180"/>
      <c r="P14" s="174"/>
      <c r="Q14" s="179"/>
      <c r="R14" s="179"/>
      <c r="S14" s="179"/>
      <c r="T14" s="180"/>
      <c r="U14" s="179"/>
      <c r="V14" s="179"/>
      <c r="W14" s="179"/>
    </row>
    <row r="15" spans="1:23">
      <c r="A15" s="172"/>
      <c r="B15" s="173"/>
      <c r="C15" s="174"/>
      <c r="D15" s="171"/>
      <c r="E15" s="171"/>
      <c r="F15" s="171"/>
      <c r="G15" s="44"/>
      <c r="H15" s="44"/>
      <c r="I15" s="48"/>
      <c r="J15" s="45"/>
      <c r="K15" s="46"/>
      <c r="L15" s="174"/>
      <c r="M15" s="174"/>
      <c r="N15" s="174"/>
      <c r="O15" s="172"/>
      <c r="P15" s="174"/>
      <c r="Q15" s="174"/>
      <c r="R15" s="174"/>
      <c r="S15" s="174"/>
      <c r="T15" s="172"/>
      <c r="U15" s="174"/>
      <c r="V15" s="174"/>
      <c r="W15" s="174"/>
    </row>
    <row r="16" spans="1:23">
      <c r="A16" s="172">
        <v>3</v>
      </c>
      <c r="B16" s="176" t="s">
        <v>329</v>
      </c>
      <c r="C16" s="174"/>
      <c r="D16" s="171"/>
      <c r="E16" s="171"/>
      <c r="F16" s="171"/>
      <c r="G16" s="44"/>
      <c r="H16" s="44"/>
      <c r="I16" s="48"/>
      <c r="J16" s="45"/>
      <c r="K16" s="46"/>
      <c r="L16" s="174"/>
      <c r="M16" s="174"/>
      <c r="N16" s="174"/>
      <c r="O16" s="172"/>
      <c r="P16" s="174"/>
      <c r="Q16" s="174"/>
      <c r="R16" s="174"/>
      <c r="S16" s="174"/>
      <c r="T16" s="172"/>
      <c r="U16" s="174"/>
      <c r="V16" s="174"/>
      <c r="W16" s="174"/>
    </row>
    <row r="17" spans="1:23" ht="14.4">
      <c r="A17" s="172">
        <v>3.1</v>
      </c>
      <c r="B17" s="173" t="s">
        <v>223</v>
      </c>
      <c r="C17" s="174" t="s">
        <v>76</v>
      </c>
      <c r="D17" s="171">
        <f>'Detail costing substation works'!D71</f>
        <v>300000</v>
      </c>
      <c r="E17" s="171">
        <f>'Detail costing substation works'!E71</f>
        <v>10000</v>
      </c>
      <c r="F17" s="175">
        <v>44197</v>
      </c>
      <c r="G17" s="116">
        <f>IF(F17="", '4.Escalation'!G$28/'4.Escalation'!D$10, '4.Escalation'!G$28/VLOOKUP(F17,'4.Escalation'!$B$16:$D$27,3,0) )</f>
        <v>1.6888579872234699</v>
      </c>
      <c r="H17" s="116">
        <f>IF($F17="", '4.Escalation'!F$28/'4.Escalation'!C$10, '4.Escalation'!F$28/VLOOKUP(F17,'4.Escalation'!$B$16:$D$27,2,0) )</f>
        <v>1.5590263353115725</v>
      </c>
      <c r="I17" s="48">
        <f t="shared" ref="I17:I19" si="4">ROUND(D17*G17+E17*H17,2)</f>
        <v>522247.66</v>
      </c>
      <c r="J17" s="45">
        <f>SUM(L17:W17)</f>
        <v>2</v>
      </c>
      <c r="K17" s="46">
        <f>J17*I17</f>
        <v>1044495.32</v>
      </c>
      <c r="L17" s="174"/>
      <c r="M17" s="174">
        <f>M6</f>
        <v>2</v>
      </c>
      <c r="N17" s="174"/>
      <c r="O17" s="174"/>
      <c r="P17" s="174"/>
      <c r="Q17" s="174"/>
      <c r="R17" s="174"/>
      <c r="S17" s="174"/>
      <c r="T17" s="174"/>
      <c r="U17" s="174"/>
      <c r="V17" s="174"/>
      <c r="W17" s="174"/>
    </row>
    <row r="18" spans="1:23" ht="14.4">
      <c r="A18" s="172">
        <v>3.2</v>
      </c>
      <c r="B18" s="173" t="s">
        <v>225</v>
      </c>
      <c r="C18" s="174" t="s">
        <v>76</v>
      </c>
      <c r="D18" s="171">
        <f>'Detail costing substation works'!D72</f>
        <v>275000</v>
      </c>
      <c r="E18" s="171">
        <f>'Detail costing substation works'!E72</f>
        <v>10000</v>
      </c>
      <c r="F18" s="175">
        <v>44197</v>
      </c>
      <c r="G18" s="116">
        <f>IF(F18="", '4.Escalation'!G$28/'4.Escalation'!D$10, '4.Escalation'!G$28/VLOOKUP(F18,'4.Escalation'!$B$16:$D$27,3,0) )</f>
        <v>1.6888579872234699</v>
      </c>
      <c r="H18" s="116">
        <f>IF($F18="", '4.Escalation'!F$28/'4.Escalation'!C$10, '4.Escalation'!F$28/VLOOKUP(F18,'4.Escalation'!$B$16:$D$27,2,0) )</f>
        <v>1.5590263353115725</v>
      </c>
      <c r="I18" s="48">
        <f t="shared" si="4"/>
        <v>480026.21</v>
      </c>
      <c r="J18" s="45">
        <f>SUM(L18:W18)</f>
        <v>1</v>
      </c>
      <c r="K18" s="46">
        <f>J18*I18</f>
        <v>480026.21</v>
      </c>
      <c r="L18" s="174"/>
      <c r="M18" s="174"/>
      <c r="N18" s="174">
        <f>N6</f>
        <v>1</v>
      </c>
      <c r="O18" s="174"/>
      <c r="P18" s="174"/>
      <c r="Q18" s="174"/>
      <c r="R18" s="174"/>
      <c r="S18" s="174"/>
      <c r="T18" s="174"/>
      <c r="U18" s="174"/>
      <c r="V18" s="174"/>
      <c r="W18" s="174"/>
    </row>
    <row r="19" spans="1:23" ht="14.4">
      <c r="A19" s="172">
        <v>3.3</v>
      </c>
      <c r="B19" s="173" t="s">
        <v>227</v>
      </c>
      <c r="C19" s="174" t="s">
        <v>76</v>
      </c>
      <c r="D19" s="171">
        <f>'Detail costing substation works'!D73</f>
        <v>250000</v>
      </c>
      <c r="E19" s="171">
        <f>'Detail costing substation works'!E73</f>
        <v>10000</v>
      </c>
      <c r="F19" s="175">
        <v>44197</v>
      </c>
      <c r="G19" s="116">
        <f>IF(F19="", '4.Escalation'!G$28/'4.Escalation'!D$10, '4.Escalation'!G$28/VLOOKUP(F19,'4.Escalation'!$B$16:$D$27,3,0) )</f>
        <v>1.6888579872234699</v>
      </c>
      <c r="H19" s="116">
        <f>IF($F19="", '4.Escalation'!F$28/'4.Escalation'!C$10, '4.Escalation'!F$28/VLOOKUP(F19,'4.Escalation'!$B$16:$D$27,2,0) )</f>
        <v>1.5590263353115725</v>
      </c>
      <c r="I19" s="48">
        <f t="shared" si="4"/>
        <v>437804.76</v>
      </c>
      <c r="J19" s="45">
        <f>SUM(L19:W19)</f>
        <v>8</v>
      </c>
      <c r="K19" s="46">
        <f>J19*I19</f>
        <v>3502438.08</v>
      </c>
      <c r="L19" s="174"/>
      <c r="M19" s="174"/>
      <c r="N19" s="174"/>
      <c r="O19" s="174">
        <f>O6</f>
        <v>8</v>
      </c>
      <c r="P19" s="174"/>
      <c r="Q19" s="174"/>
      <c r="R19" s="174"/>
      <c r="S19" s="174"/>
      <c r="T19" s="174"/>
      <c r="U19" s="174"/>
      <c r="V19" s="174"/>
      <c r="W19" s="174"/>
    </row>
    <row r="20" spans="1:23">
      <c r="A20" s="172"/>
      <c r="B20" s="173"/>
      <c r="C20" s="174"/>
      <c r="D20" s="171"/>
      <c r="E20" s="171"/>
      <c r="F20" s="171"/>
      <c r="G20" s="44"/>
      <c r="H20" s="44"/>
      <c r="I20" s="48"/>
      <c r="J20" s="45"/>
      <c r="K20" s="46"/>
      <c r="L20" s="174"/>
      <c r="M20" s="174"/>
      <c r="N20" s="174"/>
      <c r="O20" s="172"/>
      <c r="P20" s="174"/>
      <c r="Q20" s="174"/>
      <c r="R20" s="174"/>
      <c r="S20" s="174"/>
      <c r="T20" s="172"/>
      <c r="U20" s="174"/>
      <c r="V20" s="174"/>
      <c r="W20" s="174"/>
    </row>
    <row r="21" spans="1:23">
      <c r="A21" s="172">
        <v>4</v>
      </c>
      <c r="B21" s="176" t="s">
        <v>330</v>
      </c>
      <c r="C21" s="174"/>
      <c r="D21" s="171"/>
      <c r="E21" s="171"/>
      <c r="F21" s="171"/>
      <c r="G21" s="44"/>
      <c r="H21" s="44"/>
      <c r="I21" s="48"/>
      <c r="J21" s="45"/>
      <c r="K21" s="46"/>
      <c r="L21" s="174"/>
      <c r="M21" s="174"/>
      <c r="N21" s="174"/>
      <c r="O21" s="172"/>
      <c r="P21" s="174"/>
      <c r="Q21" s="174"/>
      <c r="R21" s="174"/>
      <c r="S21" s="174"/>
      <c r="T21" s="172"/>
      <c r="U21" s="174"/>
      <c r="V21" s="174"/>
      <c r="W21" s="174"/>
    </row>
    <row r="22" spans="1:23" ht="14.4">
      <c r="A22" s="172">
        <v>4.0999999999999996</v>
      </c>
      <c r="B22" s="173" t="s">
        <v>277</v>
      </c>
      <c r="C22" s="174" t="s">
        <v>76</v>
      </c>
      <c r="D22" s="171">
        <v>100000</v>
      </c>
      <c r="E22" s="171">
        <f>D22*0.1</f>
        <v>10000</v>
      </c>
      <c r="F22" s="175">
        <v>44409</v>
      </c>
      <c r="G22" s="116">
        <f>IF(F22="", '4.Escalation'!G$28/'4.Escalation'!D$10, '4.Escalation'!G$28/VLOOKUP(F22,'4.Escalation'!$B$16:$D$27,3,0) )</f>
        <v>1.4128940443907485</v>
      </c>
      <c r="H22" s="116">
        <f>IF($F22="", '4.Escalation'!F$28/'4.Escalation'!C$10, '4.Escalation'!F$28/VLOOKUP(F22,'4.Escalation'!$B$16:$D$27,2,0) )</f>
        <v>1.3151235919899873</v>
      </c>
      <c r="I22" s="48">
        <f t="shared" ref="I22:I27" si="5">ROUND(D22*G22+E22*H22,2)</f>
        <v>154440.64000000001</v>
      </c>
      <c r="J22" s="45">
        <f t="shared" ref="J22:J27" si="6">SUM(L22:W22)</f>
        <v>11</v>
      </c>
      <c r="K22" s="46">
        <f t="shared" ref="K22:K27" si="7">J22*I22</f>
        <v>1698847.04</v>
      </c>
      <c r="L22" s="174"/>
      <c r="M22" s="174">
        <f>M6</f>
        <v>2</v>
      </c>
      <c r="N22" s="174">
        <f>N6</f>
        <v>1</v>
      </c>
      <c r="O22" s="174">
        <f>O6</f>
        <v>8</v>
      </c>
      <c r="P22" s="174"/>
      <c r="Q22" s="174"/>
      <c r="R22" s="174"/>
      <c r="S22" s="174"/>
      <c r="T22" s="174"/>
      <c r="U22" s="174"/>
      <c r="V22" s="174"/>
      <c r="W22" s="174"/>
    </row>
    <row r="23" spans="1:23" ht="14.4">
      <c r="A23" s="172">
        <v>4.2</v>
      </c>
      <c r="B23" s="173" t="s">
        <v>279</v>
      </c>
      <c r="C23" s="174" t="s">
        <v>76</v>
      </c>
      <c r="D23" s="171">
        <v>50000</v>
      </c>
      <c r="E23" s="171">
        <f>D23*0.1</f>
        <v>5000</v>
      </c>
      <c r="F23" s="175">
        <v>44409</v>
      </c>
      <c r="G23" s="116">
        <f>IF(F23="", '4.Escalation'!G$28/'4.Escalation'!D$10, '4.Escalation'!G$28/VLOOKUP(F23,'4.Escalation'!$B$16:$D$27,3,0) )</f>
        <v>1.4128940443907485</v>
      </c>
      <c r="H23" s="116">
        <f>IF($F23="", '4.Escalation'!F$28/'4.Escalation'!C$10, '4.Escalation'!F$28/VLOOKUP(F23,'4.Escalation'!$B$16:$D$27,2,0) )</f>
        <v>1.3151235919899873</v>
      </c>
      <c r="I23" s="48">
        <f t="shared" si="5"/>
        <v>77220.320000000007</v>
      </c>
      <c r="J23" s="45">
        <f t="shared" si="6"/>
        <v>1</v>
      </c>
      <c r="K23" s="46">
        <f t="shared" si="7"/>
        <v>77220.320000000007</v>
      </c>
      <c r="L23" s="174"/>
      <c r="M23" s="180"/>
      <c r="N23" s="182">
        <v>1</v>
      </c>
      <c r="O23" s="172"/>
      <c r="P23" s="180"/>
      <c r="Q23" s="174"/>
      <c r="R23" s="174"/>
      <c r="S23" s="174"/>
      <c r="T23" s="172"/>
      <c r="U23" s="174"/>
      <c r="V23" s="174"/>
      <c r="W23" s="174"/>
    </row>
    <row r="24" spans="1:23" ht="26.4">
      <c r="A24" s="172">
        <v>4.3</v>
      </c>
      <c r="B24" s="173" t="s">
        <v>288</v>
      </c>
      <c r="C24" s="174" t="s">
        <v>140</v>
      </c>
      <c r="D24" s="171">
        <f>'Detail costing substation works'!D110</f>
        <v>425000</v>
      </c>
      <c r="E24" s="171">
        <f>'Detail costing substation works'!E110</f>
        <v>75000</v>
      </c>
      <c r="F24" s="175">
        <v>44409</v>
      </c>
      <c r="G24" s="116">
        <f>IF(F24="", '4.Escalation'!G$28/'4.Escalation'!D$10, '4.Escalation'!G$28/VLOOKUP(F24,'4.Escalation'!$B$16:$D$27,3,0) )</f>
        <v>1.4128940443907485</v>
      </c>
      <c r="H24" s="116">
        <f>IF($F24="", '4.Escalation'!F$28/'4.Escalation'!C$10, '4.Escalation'!F$28/VLOOKUP(F24,'4.Escalation'!$B$16:$D$27,2,0) )</f>
        <v>1.3151235919899873</v>
      </c>
      <c r="I24" s="48">
        <f t="shared" si="5"/>
        <v>699114.24</v>
      </c>
      <c r="J24" s="45">
        <f t="shared" si="6"/>
        <v>1</v>
      </c>
      <c r="K24" s="46">
        <f t="shared" si="7"/>
        <v>699114.24</v>
      </c>
      <c r="L24" s="174"/>
      <c r="M24" s="174"/>
      <c r="N24" s="182">
        <v>1</v>
      </c>
      <c r="O24" s="174"/>
      <c r="P24" s="174"/>
      <c r="Q24" s="182"/>
      <c r="R24" s="182"/>
      <c r="S24" s="182"/>
      <c r="T24" s="174"/>
      <c r="U24" s="182"/>
      <c r="V24" s="182"/>
      <c r="W24" s="182"/>
    </row>
    <row r="25" spans="1:23" ht="14.4">
      <c r="A25" s="172">
        <v>4.4000000000000004</v>
      </c>
      <c r="B25" s="173" t="s">
        <v>286</v>
      </c>
      <c r="C25" s="174" t="s">
        <v>140</v>
      </c>
      <c r="D25" s="171">
        <v>250000</v>
      </c>
      <c r="E25" s="171">
        <f>0.1*D25</f>
        <v>25000</v>
      </c>
      <c r="F25" s="175">
        <v>44409</v>
      </c>
      <c r="G25" s="116">
        <f>IF(F25="", '4.Escalation'!G$28/'4.Escalation'!D$10, '4.Escalation'!G$28/VLOOKUP(F25,'4.Escalation'!$B$16:$D$27,3,0) )</f>
        <v>1.4128940443907485</v>
      </c>
      <c r="H25" s="116">
        <f>IF($F25="", '4.Escalation'!F$28/'4.Escalation'!C$10, '4.Escalation'!F$28/VLOOKUP(F25,'4.Escalation'!$B$16:$D$27,2,0) )</f>
        <v>1.3151235919899873</v>
      </c>
      <c r="I25" s="48">
        <f t="shared" si="5"/>
        <v>386101.6</v>
      </c>
      <c r="J25" s="45">
        <f t="shared" si="6"/>
        <v>1</v>
      </c>
      <c r="K25" s="46">
        <f t="shared" si="7"/>
        <v>386101.6</v>
      </c>
      <c r="L25" s="174"/>
      <c r="M25" s="174"/>
      <c r="N25" s="182">
        <v>1</v>
      </c>
      <c r="O25" s="174"/>
      <c r="P25" s="174"/>
      <c r="Q25" s="182"/>
      <c r="R25" s="182"/>
      <c r="S25" s="182"/>
      <c r="T25" s="174"/>
      <c r="U25" s="182"/>
      <c r="V25" s="182"/>
      <c r="W25" s="182"/>
    </row>
    <row r="26" spans="1:23" ht="14.4">
      <c r="A26" s="172">
        <v>4.5</v>
      </c>
      <c r="B26" s="173" t="s">
        <v>283</v>
      </c>
      <c r="C26" s="174" t="s">
        <v>284</v>
      </c>
      <c r="D26" s="171">
        <f>'Detail costing substation works'!D108*0.4</f>
        <v>100000</v>
      </c>
      <c r="E26" s="171">
        <f>'Detail costing substation works'!E108*0.4</f>
        <v>40000</v>
      </c>
      <c r="F26" s="175">
        <v>44409</v>
      </c>
      <c r="G26" s="116">
        <f>IF(F26="", '4.Escalation'!G$28/'4.Escalation'!D$10, '4.Escalation'!G$28/VLOOKUP(F26,'4.Escalation'!$B$16:$D$27,3,0) )</f>
        <v>1.4128940443907485</v>
      </c>
      <c r="H26" s="116">
        <f>IF($F26="", '4.Escalation'!F$28/'4.Escalation'!C$10, '4.Escalation'!F$28/VLOOKUP(F26,'4.Escalation'!$B$16:$D$27,2,0) )</f>
        <v>1.3151235919899873</v>
      </c>
      <c r="I26" s="48">
        <f t="shared" si="5"/>
        <v>193894.35</v>
      </c>
      <c r="J26" s="45">
        <f t="shared" si="6"/>
        <v>1</v>
      </c>
      <c r="K26" s="46">
        <f t="shared" si="7"/>
        <v>193894.35</v>
      </c>
      <c r="L26" s="174"/>
      <c r="M26" s="174"/>
      <c r="N26" s="182">
        <v>1</v>
      </c>
      <c r="O26" s="172"/>
      <c r="P26" s="174"/>
      <c r="Q26" s="179"/>
      <c r="R26" s="179"/>
      <c r="S26" s="179"/>
      <c r="T26" s="172"/>
      <c r="U26" s="179"/>
      <c r="V26" s="179"/>
      <c r="W26" s="179"/>
    </row>
    <row r="27" spans="1:23" ht="14.4">
      <c r="A27" s="172">
        <v>4.5999999999999996</v>
      </c>
      <c r="B27" s="173" t="s">
        <v>331</v>
      </c>
      <c r="C27" s="174" t="s">
        <v>74</v>
      </c>
      <c r="D27" s="171"/>
      <c r="E27" s="171">
        <v>500000</v>
      </c>
      <c r="F27" s="175">
        <v>44409</v>
      </c>
      <c r="G27" s="116">
        <f>IF(F27="", '4.Escalation'!G$28/'4.Escalation'!D$10, '4.Escalation'!G$28/VLOOKUP(F27,'4.Escalation'!$B$16:$D$27,3,0) )</f>
        <v>1.4128940443907485</v>
      </c>
      <c r="H27" s="116">
        <f>IF($F27="", '4.Escalation'!F$28/'4.Escalation'!C$10, '4.Escalation'!F$28/VLOOKUP(F27,'4.Escalation'!$B$16:$D$27,2,0) )</f>
        <v>1.3151235919899873</v>
      </c>
      <c r="I27" s="48">
        <f t="shared" si="5"/>
        <v>657561.80000000005</v>
      </c>
      <c r="J27" s="45">
        <f t="shared" si="6"/>
        <v>1</v>
      </c>
      <c r="K27" s="46">
        <f t="shared" si="7"/>
        <v>657561.80000000005</v>
      </c>
      <c r="L27" s="174"/>
      <c r="M27" s="174"/>
      <c r="N27" s="182">
        <v>1</v>
      </c>
      <c r="O27" s="172"/>
      <c r="P27" s="174"/>
      <c r="Q27" s="179"/>
      <c r="R27" s="179"/>
      <c r="S27" s="179"/>
      <c r="T27" s="172"/>
      <c r="U27" s="179"/>
      <c r="V27" s="179"/>
      <c r="W27" s="179"/>
    </row>
    <row r="28" spans="1:23">
      <c r="A28" s="172"/>
      <c r="B28" s="173"/>
      <c r="C28" s="174"/>
      <c r="D28" s="171"/>
      <c r="E28" s="171"/>
      <c r="F28" s="171"/>
      <c r="G28" s="44"/>
      <c r="H28" s="44"/>
      <c r="I28" s="48"/>
      <c r="J28" s="45"/>
      <c r="K28" s="46"/>
      <c r="L28" s="174"/>
      <c r="M28" s="174"/>
      <c r="N28" s="174"/>
      <c r="O28" s="172"/>
      <c r="P28" s="174"/>
      <c r="Q28" s="174"/>
      <c r="R28" s="174"/>
      <c r="S28" s="174"/>
      <c r="T28" s="172"/>
      <c r="U28" s="174"/>
      <c r="V28" s="174"/>
      <c r="W28" s="174"/>
    </row>
    <row r="29" spans="1:23">
      <c r="A29" s="172">
        <v>5</v>
      </c>
      <c r="B29" s="176" t="s">
        <v>332</v>
      </c>
      <c r="C29" s="174"/>
      <c r="D29" s="171"/>
      <c r="E29" s="171"/>
      <c r="F29" s="171"/>
      <c r="G29" s="44"/>
      <c r="H29" s="44"/>
      <c r="I29" s="48"/>
      <c r="J29" s="45"/>
      <c r="K29" s="46"/>
      <c r="L29" s="174"/>
      <c r="M29" s="174"/>
      <c r="N29" s="174"/>
      <c r="O29" s="174"/>
      <c r="P29" s="174"/>
      <c r="Q29" s="174"/>
      <c r="R29" s="174"/>
      <c r="S29" s="174"/>
      <c r="T29" s="174"/>
      <c r="U29" s="174"/>
      <c r="V29" s="174"/>
      <c r="W29" s="174"/>
    </row>
    <row r="30" spans="1:23" ht="14.4">
      <c r="A30" s="172">
        <v>5.0999999999999996</v>
      </c>
      <c r="B30" s="173" t="s">
        <v>333</v>
      </c>
      <c r="C30" s="174" t="s">
        <v>81</v>
      </c>
      <c r="D30" s="171">
        <f>ROUND(388*1.05^5,0)</f>
        <v>495</v>
      </c>
      <c r="E30" s="171">
        <v>35</v>
      </c>
      <c r="F30" s="175">
        <v>44409</v>
      </c>
      <c r="G30" s="116">
        <f>IF(F30="", '4.Escalation'!G$28/'4.Escalation'!D$10, '4.Escalation'!G$28/VLOOKUP(F30,'4.Escalation'!$B$16:$D$27,3,0) )</f>
        <v>1.4128940443907485</v>
      </c>
      <c r="H30" s="116">
        <f>IF($F30="", '4.Escalation'!F$28/'4.Escalation'!C$10, '4.Escalation'!F$28/VLOOKUP(F30,'4.Escalation'!$B$16:$D$27,2,0) )</f>
        <v>1.3151235919899873</v>
      </c>
      <c r="I30" s="48">
        <f t="shared" ref="I30:I36" si="8">ROUND(D30*G30+E30*H30,2)</f>
        <v>745.41</v>
      </c>
      <c r="J30" s="45">
        <f>SUM(L30:W30)</f>
        <v>2000</v>
      </c>
      <c r="K30" s="46">
        <f>J30*I30</f>
        <v>1490820</v>
      </c>
      <c r="L30" s="172">
        <f>L6</f>
        <v>2000</v>
      </c>
      <c r="M30" s="174"/>
      <c r="N30" s="174"/>
      <c r="O30" s="174"/>
      <c r="P30" s="174"/>
      <c r="Q30" s="174"/>
      <c r="R30" s="174"/>
      <c r="S30" s="174"/>
      <c r="T30" s="174"/>
      <c r="U30" s="174"/>
      <c r="V30" s="174"/>
      <c r="W30" s="174"/>
    </row>
    <row r="31" spans="1:23" ht="14.4">
      <c r="A31" s="172">
        <v>5.2</v>
      </c>
      <c r="B31" s="173" t="s">
        <v>293</v>
      </c>
      <c r="C31" s="174" t="s">
        <v>81</v>
      </c>
      <c r="D31" s="171">
        <f>'Detail costing substation works'!D114</f>
        <v>30</v>
      </c>
      <c r="E31" s="171">
        <f>'Detail costing substation works'!E114</f>
        <v>10</v>
      </c>
      <c r="F31" s="175">
        <v>44409</v>
      </c>
      <c r="G31" s="116">
        <f>IF(F31="", '4.Escalation'!G$28/'4.Escalation'!D$10, '4.Escalation'!G$28/VLOOKUP(F31,'4.Escalation'!$B$16:$D$27,3,0) )</f>
        <v>1.4128940443907485</v>
      </c>
      <c r="H31" s="116">
        <f>IF($F31="", '4.Escalation'!F$28/'4.Escalation'!C$10, '4.Escalation'!F$28/VLOOKUP(F31,'4.Escalation'!$B$16:$D$27,2,0) )</f>
        <v>1.3151235919899873</v>
      </c>
      <c r="I31" s="48">
        <f t="shared" si="8"/>
        <v>55.54</v>
      </c>
      <c r="J31" s="45">
        <f t="shared" ref="J31:J32" si="9">SUM(L31:W31)</f>
        <v>1000</v>
      </c>
      <c r="K31" s="46">
        <f t="shared" ref="K31:K32" si="10">J31*I31</f>
        <v>55540</v>
      </c>
      <c r="L31" s="172">
        <f>L30/2</f>
        <v>1000</v>
      </c>
      <c r="M31" s="174"/>
      <c r="N31" s="174"/>
      <c r="O31" s="174"/>
      <c r="P31" s="174"/>
      <c r="Q31" s="174"/>
      <c r="R31" s="174"/>
      <c r="S31" s="174"/>
      <c r="T31" s="174"/>
      <c r="U31" s="174"/>
      <c r="V31" s="174"/>
      <c r="W31" s="174"/>
    </row>
    <row r="32" spans="1:23" ht="14.4">
      <c r="A32" s="172">
        <v>5.3</v>
      </c>
      <c r="B32" s="173" t="s">
        <v>295</v>
      </c>
      <c r="C32" s="174" t="s">
        <v>81</v>
      </c>
      <c r="D32" s="171">
        <f>'Detail costing substation works'!D115</f>
        <v>25</v>
      </c>
      <c r="E32" s="171">
        <f>'Detail costing substation works'!E115</f>
        <v>5</v>
      </c>
      <c r="F32" s="175">
        <v>44409</v>
      </c>
      <c r="G32" s="116">
        <f>IF(F32="", '4.Escalation'!G$28/'4.Escalation'!D$10, '4.Escalation'!G$28/VLOOKUP(F32,'4.Escalation'!$B$16:$D$27,3,0) )</f>
        <v>1.4128940443907485</v>
      </c>
      <c r="H32" s="116">
        <f>IF($F32="", '4.Escalation'!F$28/'4.Escalation'!C$10, '4.Escalation'!F$28/VLOOKUP(F32,'4.Escalation'!$B$16:$D$27,2,0) )</f>
        <v>1.3151235919899873</v>
      </c>
      <c r="I32" s="48">
        <f t="shared" si="8"/>
        <v>41.9</v>
      </c>
      <c r="J32" s="45">
        <f t="shared" si="9"/>
        <v>1000</v>
      </c>
      <c r="K32" s="46">
        <f t="shared" si="10"/>
        <v>41900</v>
      </c>
      <c r="L32" s="172">
        <f>L31</f>
        <v>1000</v>
      </c>
      <c r="M32" s="174"/>
      <c r="N32" s="174"/>
      <c r="O32" s="174"/>
      <c r="P32" s="174"/>
      <c r="Q32" s="174"/>
      <c r="R32" s="174"/>
      <c r="S32" s="174"/>
      <c r="T32" s="174"/>
      <c r="U32" s="174"/>
      <c r="V32" s="174"/>
      <c r="W32" s="174"/>
    </row>
    <row r="33" spans="1:23" ht="26.4">
      <c r="A33" s="172">
        <v>5.4</v>
      </c>
      <c r="B33" s="173" t="s">
        <v>334</v>
      </c>
      <c r="C33" s="174" t="s">
        <v>76</v>
      </c>
      <c r="D33" s="171">
        <v>5000</v>
      </c>
      <c r="E33" s="171">
        <v>1800</v>
      </c>
      <c r="F33" s="175">
        <v>44409</v>
      </c>
      <c r="G33" s="116">
        <f>IF(F33="", '4.Escalation'!G$28/'4.Escalation'!D$10, '4.Escalation'!G$28/VLOOKUP(F33,'4.Escalation'!$B$16:$D$27,3,0) )</f>
        <v>1.4128940443907485</v>
      </c>
      <c r="H33" s="116">
        <f>IF($F33="", '4.Escalation'!F$28/'4.Escalation'!C$10, '4.Escalation'!F$28/VLOOKUP(F33,'4.Escalation'!$B$16:$D$27,2,0) )</f>
        <v>1.3151235919899873</v>
      </c>
      <c r="I33" s="48">
        <f t="shared" si="8"/>
        <v>9431.69</v>
      </c>
      <c r="J33" s="45">
        <f>SUM(L33:W33)</f>
        <v>4</v>
      </c>
      <c r="K33" s="46">
        <f>J33*I33</f>
        <v>37726.76</v>
      </c>
      <c r="L33" s="172">
        <v>4</v>
      </c>
      <c r="M33" s="174"/>
      <c r="N33" s="174"/>
      <c r="O33" s="174"/>
      <c r="P33" s="174"/>
      <c r="Q33" s="174"/>
      <c r="R33" s="174"/>
      <c r="S33" s="174"/>
      <c r="T33" s="174"/>
      <c r="U33" s="174"/>
      <c r="V33" s="174"/>
      <c r="W33" s="174"/>
    </row>
    <row r="34" spans="1:23" ht="26.4">
      <c r="A34" s="172">
        <v>5.5</v>
      </c>
      <c r="B34" s="173" t="s">
        <v>335</v>
      </c>
      <c r="C34" s="174" t="s">
        <v>76</v>
      </c>
      <c r="D34" s="171">
        <v>5000</v>
      </c>
      <c r="E34" s="171">
        <v>2500</v>
      </c>
      <c r="F34" s="175">
        <v>44409</v>
      </c>
      <c r="G34" s="116">
        <f>IF(F34="", '4.Escalation'!G$28/'4.Escalation'!D$10, '4.Escalation'!G$28/VLOOKUP(F34,'4.Escalation'!$B$16:$D$27,3,0) )</f>
        <v>1.4128940443907485</v>
      </c>
      <c r="H34" s="116">
        <f>IF($F34="", '4.Escalation'!F$28/'4.Escalation'!C$10, '4.Escalation'!F$28/VLOOKUP(F34,'4.Escalation'!$B$16:$D$27,2,0) )</f>
        <v>1.3151235919899873</v>
      </c>
      <c r="I34" s="48">
        <f t="shared" si="8"/>
        <v>10352.280000000001</v>
      </c>
      <c r="J34" s="45">
        <f>SUM(L34:W34)</f>
        <v>0</v>
      </c>
      <c r="K34" s="46">
        <f>J34*I34</f>
        <v>0</v>
      </c>
      <c r="L34" s="172">
        <v>0</v>
      </c>
      <c r="M34" s="174"/>
      <c r="N34" s="174"/>
      <c r="O34" s="174"/>
      <c r="P34" s="174"/>
      <c r="Q34" s="174"/>
      <c r="R34" s="174"/>
      <c r="S34" s="174"/>
      <c r="T34" s="174"/>
      <c r="U34" s="174"/>
      <c r="V34" s="174"/>
      <c r="W34" s="174"/>
    </row>
    <row r="35" spans="1:23" ht="26.4">
      <c r="A35" s="172">
        <v>5.6</v>
      </c>
      <c r="B35" s="173" t="s">
        <v>336</v>
      </c>
      <c r="C35" s="174" t="s">
        <v>76</v>
      </c>
      <c r="D35" s="171">
        <v>5000</v>
      </c>
      <c r="E35" s="171">
        <v>2500</v>
      </c>
      <c r="F35" s="175">
        <v>44409</v>
      </c>
      <c r="G35" s="116">
        <f>IF(F35="", '4.Escalation'!G$28/'4.Escalation'!D$10, '4.Escalation'!G$28/VLOOKUP(F35,'4.Escalation'!$B$16:$D$27,3,0) )</f>
        <v>1.4128940443907485</v>
      </c>
      <c r="H35" s="116">
        <f>IF($F35="", '4.Escalation'!F$28/'4.Escalation'!C$10, '4.Escalation'!F$28/VLOOKUP(F35,'4.Escalation'!$B$16:$D$27,2,0) )</f>
        <v>1.3151235919899873</v>
      </c>
      <c r="I35" s="48">
        <f t="shared" si="8"/>
        <v>10352.280000000001</v>
      </c>
      <c r="J35" s="45">
        <f>SUM(L35:W35)</f>
        <v>6</v>
      </c>
      <c r="K35" s="46">
        <f>J35*I35</f>
        <v>62113.680000000008</v>
      </c>
      <c r="L35" s="172">
        <f>ROUNDDOWN(L30/2/300,0)*2</f>
        <v>6</v>
      </c>
      <c r="M35" s="174"/>
      <c r="N35" s="174"/>
      <c r="O35" s="174"/>
      <c r="P35" s="174"/>
      <c r="Q35" s="174"/>
      <c r="R35" s="174"/>
      <c r="S35" s="174"/>
      <c r="T35" s="174"/>
      <c r="U35" s="174"/>
      <c r="V35" s="174"/>
      <c r="W35" s="174"/>
    </row>
    <row r="36" spans="1:23" ht="14.4">
      <c r="A36" s="172">
        <v>5.7</v>
      </c>
      <c r="B36" s="173" t="s">
        <v>337</v>
      </c>
      <c r="C36" s="174" t="s">
        <v>302</v>
      </c>
      <c r="D36" s="171"/>
      <c r="E36" s="171">
        <f>'Detail costing substation works'!E119</f>
        <v>375</v>
      </c>
      <c r="F36" s="175">
        <v>44197</v>
      </c>
      <c r="G36" s="116">
        <f>IF(F36="", '4.Escalation'!G$28/'4.Escalation'!D$10, '4.Escalation'!G$28/VLOOKUP(F36,'4.Escalation'!$B$16:$D$27,3,0) )</f>
        <v>1.6888579872234699</v>
      </c>
      <c r="H36" s="116">
        <f>IF($F36="", '4.Escalation'!F$28/'4.Escalation'!C$10, '4.Escalation'!F$28/VLOOKUP(F36,'4.Escalation'!$B$16:$D$27,2,0) )</f>
        <v>1.5590263353115725</v>
      </c>
      <c r="I36" s="48">
        <f t="shared" si="8"/>
        <v>584.63</v>
      </c>
      <c r="J36" s="45">
        <f>SUM(L36:W36)</f>
        <v>1440</v>
      </c>
      <c r="K36" s="46">
        <f>J36*I36</f>
        <v>841867.2</v>
      </c>
      <c r="L36" s="172">
        <f>L30*1.2*0.6</f>
        <v>1440</v>
      </c>
      <c r="M36" s="174"/>
      <c r="N36" s="174"/>
      <c r="O36" s="174"/>
      <c r="P36" s="174"/>
      <c r="Q36" s="174"/>
      <c r="R36" s="174"/>
      <c r="S36" s="174"/>
      <c r="T36" s="174"/>
      <c r="U36" s="174"/>
      <c r="V36" s="174"/>
      <c r="W36" s="174"/>
    </row>
    <row r="37" spans="1:23">
      <c r="A37" s="172"/>
      <c r="B37" s="173"/>
      <c r="C37" s="174"/>
      <c r="D37" s="171"/>
      <c r="E37" s="171"/>
      <c r="F37" s="171"/>
      <c r="G37" s="44"/>
      <c r="H37" s="44"/>
      <c r="I37" s="48"/>
      <c r="J37" s="45"/>
      <c r="K37" s="46"/>
      <c r="L37" s="174"/>
      <c r="M37" s="174"/>
      <c r="N37" s="174"/>
      <c r="O37" s="174"/>
      <c r="P37" s="174"/>
      <c r="Q37" s="174"/>
      <c r="R37" s="174"/>
      <c r="S37" s="174"/>
      <c r="T37" s="174"/>
      <c r="U37" s="174"/>
      <c r="V37" s="174"/>
      <c r="W37" s="174"/>
    </row>
    <row r="38" spans="1:23">
      <c r="A38" s="172">
        <v>6</v>
      </c>
      <c r="B38" s="176" t="s">
        <v>338</v>
      </c>
      <c r="C38" s="174"/>
      <c r="D38" s="171"/>
      <c r="E38" s="171"/>
      <c r="F38" s="171"/>
      <c r="G38" s="44"/>
      <c r="H38" s="44"/>
      <c r="I38" s="48"/>
      <c r="J38" s="45"/>
      <c r="K38" s="46"/>
      <c r="L38" s="174"/>
      <c r="M38" s="174"/>
      <c r="N38" s="174"/>
      <c r="O38" s="172"/>
      <c r="P38" s="174"/>
      <c r="Q38" s="174"/>
      <c r="R38" s="174"/>
      <c r="S38" s="174"/>
      <c r="T38" s="172"/>
      <c r="U38" s="174"/>
      <c r="V38" s="174"/>
      <c r="W38" s="174"/>
    </row>
    <row r="39" spans="1:23" ht="14.4">
      <c r="A39" s="172">
        <v>6.1</v>
      </c>
      <c r="B39" s="173" t="s">
        <v>339</v>
      </c>
      <c r="C39" s="174" t="s">
        <v>81</v>
      </c>
      <c r="D39" s="171">
        <v>220</v>
      </c>
      <c r="E39" s="171">
        <v>35</v>
      </c>
      <c r="F39" s="175">
        <v>44409</v>
      </c>
      <c r="G39" s="116">
        <f>IF(F39="", '4.Escalation'!G$28/'4.Escalation'!D$10, '4.Escalation'!G$28/VLOOKUP(F39,'4.Escalation'!$B$16:$D$27,3,0) )</f>
        <v>1.4128940443907485</v>
      </c>
      <c r="H39" s="116">
        <f>IF($F39="", '4.Escalation'!F$28/'4.Escalation'!C$10, '4.Escalation'!F$28/VLOOKUP(F39,'4.Escalation'!$B$16:$D$27,2,0) )</f>
        <v>1.3151235919899873</v>
      </c>
      <c r="I39" s="48">
        <f t="shared" ref="I39:I42" si="11">ROUND(D39*G39+E39*H39,2)</f>
        <v>356.87</v>
      </c>
      <c r="J39" s="45">
        <f>SUM(L39:W39)</f>
        <v>315</v>
      </c>
      <c r="K39" s="46">
        <f>J39*I39</f>
        <v>112414.05</v>
      </c>
      <c r="L39" s="172"/>
      <c r="M39" s="174"/>
      <c r="N39" s="174"/>
      <c r="O39" s="172"/>
      <c r="P39" s="174">
        <f>P6</f>
        <v>300</v>
      </c>
      <c r="Q39" s="174"/>
      <c r="R39" s="174"/>
      <c r="S39" s="174"/>
      <c r="T39" s="172"/>
      <c r="U39" s="174">
        <v>15</v>
      </c>
      <c r="V39" s="174"/>
      <c r="W39" s="174"/>
    </row>
    <row r="40" spans="1:23" ht="26.4">
      <c r="A40" s="172">
        <v>6.2</v>
      </c>
      <c r="B40" s="173" t="s">
        <v>340</v>
      </c>
      <c r="C40" s="174" t="s">
        <v>76</v>
      </c>
      <c r="D40" s="171">
        <v>5000</v>
      </c>
      <c r="E40" s="171">
        <v>1800</v>
      </c>
      <c r="F40" s="175">
        <v>44409</v>
      </c>
      <c r="G40" s="116">
        <f>IF(F40="", '4.Escalation'!G$28/'4.Escalation'!D$10, '4.Escalation'!G$28/VLOOKUP(F40,'4.Escalation'!$B$16:$D$27,3,0) )</f>
        <v>1.4128940443907485</v>
      </c>
      <c r="H40" s="116">
        <f>IF($F40="", '4.Escalation'!F$28/'4.Escalation'!C$10, '4.Escalation'!F$28/VLOOKUP(F40,'4.Escalation'!$B$16:$D$27,2,0) )</f>
        <v>1.3151235919899873</v>
      </c>
      <c r="I40" s="48">
        <f t="shared" si="11"/>
        <v>9431.69</v>
      </c>
      <c r="J40" s="45">
        <f>SUM(L40:W40)</f>
        <v>3</v>
      </c>
      <c r="K40" s="46">
        <f>J40*I40</f>
        <v>28295.07</v>
      </c>
      <c r="L40" s="172"/>
      <c r="M40" s="174"/>
      <c r="N40" s="174"/>
      <c r="O40" s="172"/>
      <c r="P40" s="174">
        <v>1</v>
      </c>
      <c r="Q40" s="174"/>
      <c r="R40" s="174"/>
      <c r="S40" s="174"/>
      <c r="T40" s="172"/>
      <c r="U40" s="174">
        <v>2</v>
      </c>
      <c r="V40" s="174"/>
      <c r="W40" s="174"/>
    </row>
    <row r="41" spans="1:23" ht="26.4">
      <c r="A41" s="172">
        <v>6.3</v>
      </c>
      <c r="B41" s="173" t="s">
        <v>341</v>
      </c>
      <c r="C41" s="174" t="s">
        <v>76</v>
      </c>
      <c r="D41" s="171">
        <v>5000</v>
      </c>
      <c r="E41" s="171">
        <v>2500</v>
      </c>
      <c r="F41" s="175">
        <v>44409</v>
      </c>
      <c r="G41" s="116">
        <f>IF(F41="", '4.Escalation'!G$28/'4.Escalation'!D$10, '4.Escalation'!G$28/VLOOKUP(F41,'4.Escalation'!$B$16:$D$27,3,0) )</f>
        <v>1.4128940443907485</v>
      </c>
      <c r="H41" s="116">
        <f>IF($F41="", '4.Escalation'!F$28/'4.Escalation'!C$10, '4.Escalation'!F$28/VLOOKUP(F41,'4.Escalation'!$B$16:$D$27,2,0) )</f>
        <v>1.3151235919899873</v>
      </c>
      <c r="I41" s="48">
        <f t="shared" si="11"/>
        <v>10352.280000000001</v>
      </c>
      <c r="J41" s="45">
        <f>SUM(L41:W41)</f>
        <v>1</v>
      </c>
      <c r="K41" s="46">
        <f>J41*I41</f>
        <v>10352.280000000001</v>
      </c>
      <c r="L41" s="172"/>
      <c r="M41" s="174"/>
      <c r="N41" s="174"/>
      <c r="O41" s="172"/>
      <c r="P41" s="174">
        <f>ROUNDDOWN(P39/300,0)</f>
        <v>1</v>
      </c>
      <c r="Q41" s="174"/>
      <c r="R41" s="174"/>
      <c r="S41" s="174"/>
      <c r="T41" s="172"/>
      <c r="U41" s="174"/>
      <c r="V41" s="174"/>
      <c r="W41" s="174"/>
    </row>
    <row r="42" spans="1:23" ht="14.4">
      <c r="A42" s="172">
        <v>6.4</v>
      </c>
      <c r="B42" s="173" t="s">
        <v>337</v>
      </c>
      <c r="C42" s="174" t="s">
        <v>302</v>
      </c>
      <c r="D42" s="171"/>
      <c r="E42" s="171">
        <f>E36</f>
        <v>375</v>
      </c>
      <c r="F42" s="175">
        <v>44197</v>
      </c>
      <c r="G42" s="116">
        <f>IF(F42="", '4.Escalation'!G$28/'4.Escalation'!D$10, '4.Escalation'!G$28/VLOOKUP(F42,'4.Escalation'!$B$16:$D$27,3,0) )</f>
        <v>1.6888579872234699</v>
      </c>
      <c r="H42" s="116">
        <f>IF($F42="", '4.Escalation'!F$28/'4.Escalation'!C$10, '4.Escalation'!F$28/VLOOKUP(F42,'4.Escalation'!$B$16:$D$27,2,0) )</f>
        <v>1.5590263353115725</v>
      </c>
      <c r="I42" s="48">
        <f t="shared" si="11"/>
        <v>584.63</v>
      </c>
      <c r="J42" s="45">
        <f>SUM(L42:W42)</f>
        <v>206.99999999999997</v>
      </c>
      <c r="K42" s="46">
        <f>J42*I42</f>
        <v>121018.40999999999</v>
      </c>
      <c r="L42" s="172"/>
      <c r="M42" s="174"/>
      <c r="N42" s="174"/>
      <c r="O42" s="172"/>
      <c r="P42" s="174">
        <f>P39*0.6*1.15</f>
        <v>206.99999999999997</v>
      </c>
      <c r="Q42" s="174"/>
      <c r="R42" s="174"/>
      <c r="S42" s="174"/>
      <c r="T42" s="172"/>
      <c r="U42" s="174"/>
      <c r="V42" s="174"/>
      <c r="W42" s="174"/>
    </row>
    <row r="43" spans="1:23">
      <c r="A43" s="172"/>
      <c r="B43" s="173"/>
      <c r="C43" s="174"/>
      <c r="D43" s="171"/>
      <c r="E43" s="171"/>
      <c r="F43" s="171"/>
      <c r="G43" s="44"/>
      <c r="H43" s="44"/>
      <c r="I43" s="48"/>
      <c r="J43" s="45"/>
      <c r="K43" s="46"/>
      <c r="L43" s="172"/>
      <c r="M43" s="174"/>
      <c r="N43" s="174"/>
      <c r="O43" s="172"/>
      <c r="P43" s="174"/>
      <c r="Q43" s="174"/>
      <c r="R43" s="174"/>
      <c r="S43" s="174"/>
      <c r="T43" s="172"/>
      <c r="U43" s="174"/>
      <c r="V43" s="174"/>
      <c r="W43" s="174"/>
    </row>
    <row r="44" spans="1:23">
      <c r="A44" s="172">
        <v>7</v>
      </c>
      <c r="B44" s="187" t="s">
        <v>342</v>
      </c>
      <c r="C44" s="174"/>
      <c r="D44" s="171"/>
      <c r="E44" s="171"/>
      <c r="F44" s="171"/>
      <c r="G44" s="44"/>
      <c r="H44" s="44"/>
      <c r="I44" s="48"/>
      <c r="J44" s="45"/>
      <c r="K44" s="46"/>
      <c r="L44" s="172"/>
      <c r="M44" s="174"/>
      <c r="N44" s="174"/>
      <c r="O44" s="172"/>
      <c r="P44" s="174"/>
      <c r="Q44" s="174"/>
      <c r="R44" s="174"/>
      <c r="S44" s="174"/>
      <c r="T44" s="172"/>
      <c r="U44" s="174"/>
      <c r="V44" s="174"/>
      <c r="W44" s="174"/>
    </row>
    <row r="45" spans="1:23" ht="14.4">
      <c r="A45" s="172">
        <v>7.1</v>
      </c>
      <c r="B45" s="173" t="s">
        <v>343</v>
      </c>
      <c r="C45" s="174" t="s">
        <v>76</v>
      </c>
      <c r="D45" s="171">
        <v>420000</v>
      </c>
      <c r="E45" s="171">
        <v>20000</v>
      </c>
      <c r="F45" s="175">
        <v>44409</v>
      </c>
      <c r="G45" s="116">
        <f>IF(F45="", '4.Escalation'!G$28/'4.Escalation'!D$10, '4.Escalation'!G$28/VLOOKUP(F45,'4.Escalation'!$B$16:$D$27,3,0) )</f>
        <v>1.4128940443907485</v>
      </c>
      <c r="H45" s="116">
        <f>IF($F45="", '4.Escalation'!F$28/'4.Escalation'!C$10, '4.Escalation'!F$28/VLOOKUP(F45,'4.Escalation'!$B$16:$D$27,2,0) )</f>
        <v>1.3151235919899873</v>
      </c>
      <c r="I45" s="48">
        <f t="shared" ref="I45:I48" si="12">ROUND(D45*G45+E45*H45,2)</f>
        <v>619717.97</v>
      </c>
      <c r="J45" s="45">
        <f>SUM(L45:W45)</f>
        <v>1</v>
      </c>
      <c r="K45" s="46">
        <f>J45*I45</f>
        <v>619717.97</v>
      </c>
      <c r="L45" s="172"/>
      <c r="M45" s="174"/>
      <c r="N45" s="174"/>
      <c r="O45" s="172"/>
      <c r="P45" s="174"/>
      <c r="Q45" s="174"/>
      <c r="R45" s="174">
        <v>1</v>
      </c>
      <c r="S45" s="174"/>
      <c r="T45" s="172"/>
      <c r="U45" s="174"/>
      <c r="V45" s="174"/>
      <c r="W45" s="174"/>
    </row>
    <row r="46" spans="1:23" ht="14.4">
      <c r="A46" s="172">
        <v>7.2</v>
      </c>
      <c r="B46" s="173" t="s">
        <v>344</v>
      </c>
      <c r="C46" s="174" t="s">
        <v>76</v>
      </c>
      <c r="D46" s="171">
        <v>10000</v>
      </c>
      <c r="E46" s="171">
        <v>5000</v>
      </c>
      <c r="F46" s="175">
        <v>44409</v>
      </c>
      <c r="G46" s="116">
        <f>IF(F46="", '4.Escalation'!G$28/'4.Escalation'!D$10, '4.Escalation'!G$28/VLOOKUP(F46,'4.Escalation'!$B$16:$D$27,3,0) )</f>
        <v>1.4128940443907485</v>
      </c>
      <c r="H46" s="116">
        <f>IF($F46="", '4.Escalation'!F$28/'4.Escalation'!C$10, '4.Escalation'!F$28/VLOOKUP(F46,'4.Escalation'!$B$16:$D$27,2,0) )</f>
        <v>1.3151235919899873</v>
      </c>
      <c r="I46" s="48">
        <f t="shared" si="12"/>
        <v>20704.560000000001</v>
      </c>
      <c r="J46" s="45">
        <f>SUM(L46:W46)</f>
        <v>1</v>
      </c>
      <c r="K46" s="46">
        <f>J46*I46</f>
        <v>20704.560000000001</v>
      </c>
      <c r="L46" s="172"/>
      <c r="M46" s="174"/>
      <c r="N46" s="174"/>
      <c r="O46" s="172"/>
      <c r="P46" s="174"/>
      <c r="Q46" s="174"/>
      <c r="R46" s="174">
        <v>1</v>
      </c>
      <c r="S46" s="174"/>
      <c r="T46" s="172"/>
      <c r="U46" s="174"/>
      <c r="V46" s="174"/>
      <c r="W46" s="174"/>
    </row>
    <row r="47" spans="1:23" ht="14.4">
      <c r="A47" s="172">
        <v>7.3</v>
      </c>
      <c r="B47" s="173" t="s">
        <v>91</v>
      </c>
      <c r="C47" s="174" t="s">
        <v>76</v>
      </c>
      <c r="D47" s="171">
        <v>310000</v>
      </c>
      <c r="E47" s="171">
        <v>10000</v>
      </c>
      <c r="F47" s="175">
        <v>44409</v>
      </c>
      <c r="G47" s="116">
        <f>IF(F47="", '4.Escalation'!G$28/'4.Escalation'!D$10, '4.Escalation'!G$28/VLOOKUP(F47,'4.Escalation'!$B$16:$D$27,3,0) )</f>
        <v>1.4128940443907485</v>
      </c>
      <c r="H47" s="116">
        <f>IF($F47="", '4.Escalation'!F$28/'4.Escalation'!C$10, '4.Escalation'!F$28/VLOOKUP(F47,'4.Escalation'!$B$16:$D$27,2,0) )</f>
        <v>1.3151235919899873</v>
      </c>
      <c r="I47" s="48">
        <f t="shared" si="12"/>
        <v>451148.39</v>
      </c>
      <c r="J47" s="45">
        <f>SUM(L47:W47)</f>
        <v>1</v>
      </c>
      <c r="K47" s="46">
        <f>J47*I47</f>
        <v>451148.39</v>
      </c>
      <c r="L47" s="172"/>
      <c r="M47" s="174"/>
      <c r="N47" s="174"/>
      <c r="O47" s="172"/>
      <c r="P47" s="174"/>
      <c r="Q47" s="174">
        <v>1</v>
      </c>
      <c r="R47" s="174"/>
      <c r="S47" s="174"/>
      <c r="T47" s="172"/>
      <c r="U47" s="174"/>
      <c r="V47" s="174"/>
      <c r="W47" s="174"/>
    </row>
    <row r="48" spans="1:23" ht="14.4">
      <c r="A48" s="172">
        <v>7.4</v>
      </c>
      <c r="B48" s="173" t="s">
        <v>344</v>
      </c>
      <c r="C48" s="174" t="s">
        <v>76</v>
      </c>
      <c r="D48" s="171">
        <v>8000</v>
      </c>
      <c r="E48" s="171">
        <v>3500</v>
      </c>
      <c r="F48" s="175">
        <v>44409</v>
      </c>
      <c r="G48" s="116">
        <f>IF(F48="", '4.Escalation'!G$28/'4.Escalation'!D$10, '4.Escalation'!G$28/VLOOKUP(F48,'4.Escalation'!$B$16:$D$27,3,0) )</f>
        <v>1.4128940443907485</v>
      </c>
      <c r="H48" s="116">
        <f>IF($F48="", '4.Escalation'!F$28/'4.Escalation'!C$10, '4.Escalation'!F$28/VLOOKUP(F48,'4.Escalation'!$B$16:$D$27,2,0) )</f>
        <v>1.3151235919899873</v>
      </c>
      <c r="I48" s="48">
        <f t="shared" si="12"/>
        <v>15906.08</v>
      </c>
      <c r="J48" s="45">
        <f>SUM(L48:W48)</f>
        <v>1</v>
      </c>
      <c r="K48" s="46">
        <f>J48*I48</f>
        <v>15906.08</v>
      </c>
      <c r="L48" s="172"/>
      <c r="M48" s="174"/>
      <c r="N48" s="174"/>
      <c r="O48" s="172"/>
      <c r="P48" s="174"/>
      <c r="Q48" s="174">
        <v>1</v>
      </c>
      <c r="R48" s="174"/>
      <c r="S48" s="174"/>
      <c r="T48" s="172"/>
      <c r="U48" s="174"/>
      <c r="V48" s="174"/>
      <c r="W48" s="174"/>
    </row>
    <row r="49" spans="1:23">
      <c r="A49" s="172"/>
      <c r="B49" s="173"/>
      <c r="C49" s="174"/>
      <c r="D49" s="171"/>
      <c r="E49" s="171"/>
      <c r="F49" s="171"/>
      <c r="G49" s="44"/>
      <c r="H49" s="44"/>
      <c r="I49" s="48"/>
      <c r="J49" s="45"/>
      <c r="K49" s="46"/>
      <c r="L49" s="172"/>
      <c r="M49" s="174"/>
      <c r="N49" s="174"/>
      <c r="O49" s="172"/>
      <c r="P49" s="174"/>
      <c r="Q49" s="174"/>
      <c r="R49" s="174"/>
      <c r="S49" s="174"/>
      <c r="T49" s="172"/>
      <c r="U49" s="174"/>
      <c r="V49" s="174"/>
      <c r="W49" s="174"/>
    </row>
    <row r="50" spans="1:23">
      <c r="A50" s="172">
        <v>8</v>
      </c>
      <c r="B50" s="187" t="s">
        <v>345</v>
      </c>
      <c r="C50" s="174"/>
      <c r="D50" s="171"/>
      <c r="E50" s="171"/>
      <c r="F50" s="171"/>
      <c r="G50" s="44"/>
      <c r="H50" s="44"/>
      <c r="I50" s="48"/>
      <c r="J50" s="45"/>
      <c r="K50" s="46"/>
      <c r="L50" s="172"/>
      <c r="M50" s="174"/>
      <c r="N50" s="174"/>
      <c r="O50" s="172"/>
      <c r="P50" s="174"/>
      <c r="Q50" s="174"/>
      <c r="R50" s="174"/>
      <c r="S50" s="174"/>
      <c r="T50" s="172"/>
      <c r="U50" s="174"/>
      <c r="V50" s="174"/>
      <c r="W50" s="174"/>
    </row>
    <row r="51" spans="1:23" ht="14.4">
      <c r="A51" s="172">
        <v>8.1</v>
      </c>
      <c r="B51" s="173" t="s">
        <v>346</v>
      </c>
      <c r="C51" s="174" t="s">
        <v>76</v>
      </c>
      <c r="D51" s="171">
        <v>6000</v>
      </c>
      <c r="E51" s="171">
        <v>500</v>
      </c>
      <c r="F51" s="175">
        <v>44409</v>
      </c>
      <c r="G51" s="116">
        <f>IF(F51="", '4.Escalation'!G$28/'4.Escalation'!D$10, '4.Escalation'!G$28/VLOOKUP(F51,'4.Escalation'!$B$16:$D$27,3,0) )</f>
        <v>1.4128940443907485</v>
      </c>
      <c r="H51" s="116">
        <f>IF($F51="", '4.Escalation'!F$28/'4.Escalation'!C$10, '4.Escalation'!F$28/VLOOKUP(F51,'4.Escalation'!$B$16:$D$27,2,0) )</f>
        <v>1.3151235919899873</v>
      </c>
      <c r="I51" s="48">
        <f t="shared" ref="I51:I57" si="13">ROUND(D51*G51+E51*H51,2)</f>
        <v>9134.93</v>
      </c>
      <c r="J51" s="45">
        <f>SUM(L51:W51)</f>
        <v>1</v>
      </c>
      <c r="K51" s="46">
        <f>J51*I51</f>
        <v>9134.93</v>
      </c>
      <c r="L51" s="172"/>
      <c r="M51" s="174"/>
      <c r="N51" s="174"/>
      <c r="O51" s="172"/>
      <c r="P51" s="174"/>
      <c r="Q51" s="174"/>
      <c r="R51" s="174"/>
      <c r="S51" s="174">
        <v>1</v>
      </c>
      <c r="T51" s="172"/>
      <c r="U51" s="174"/>
      <c r="V51" s="174"/>
      <c r="W51" s="174"/>
    </row>
    <row r="52" spans="1:23" ht="14.4">
      <c r="A52" s="172">
        <v>8.1999999999999993</v>
      </c>
      <c r="B52" s="173" t="s">
        <v>347</v>
      </c>
      <c r="C52" s="174" t="s">
        <v>81</v>
      </c>
      <c r="D52" s="171">
        <v>190</v>
      </c>
      <c r="E52" s="171">
        <v>10</v>
      </c>
      <c r="F52" s="175">
        <v>44409</v>
      </c>
      <c r="G52" s="116">
        <f>IF(F52="", '4.Escalation'!G$28/'4.Escalation'!D$10, '4.Escalation'!G$28/VLOOKUP(F52,'4.Escalation'!$B$16:$D$27,3,0) )</f>
        <v>1.4128940443907485</v>
      </c>
      <c r="H52" s="116">
        <f>IF($F52="", '4.Escalation'!F$28/'4.Escalation'!C$10, '4.Escalation'!F$28/VLOOKUP(F52,'4.Escalation'!$B$16:$D$27,2,0) )</f>
        <v>1.3151235919899873</v>
      </c>
      <c r="I52" s="48">
        <f t="shared" si="13"/>
        <v>281.60000000000002</v>
      </c>
      <c r="J52" s="45">
        <f>SUM(L52:W52)</f>
        <v>100</v>
      </c>
      <c r="K52" s="46">
        <f>J52*I52</f>
        <v>28160.000000000004</v>
      </c>
      <c r="L52" s="172"/>
      <c r="M52" s="174"/>
      <c r="N52" s="174"/>
      <c r="O52" s="172"/>
      <c r="P52" s="174"/>
      <c r="Q52" s="174"/>
      <c r="R52" s="174"/>
      <c r="S52" s="174">
        <f>S6</f>
        <v>100</v>
      </c>
      <c r="T52" s="172"/>
      <c r="U52" s="174"/>
      <c r="V52" s="174"/>
      <c r="W52" s="174"/>
    </row>
    <row r="53" spans="1:23" ht="14.4">
      <c r="A53" s="172">
        <v>8.3000000000000007</v>
      </c>
      <c r="B53" s="173" t="s">
        <v>348</v>
      </c>
      <c r="C53" s="174" t="s">
        <v>81</v>
      </c>
      <c r="D53" s="171">
        <v>130</v>
      </c>
      <c r="E53" s="171">
        <v>5</v>
      </c>
      <c r="F53" s="175">
        <v>44409</v>
      </c>
      <c r="G53" s="116">
        <f>IF(F53="", '4.Escalation'!G$28/'4.Escalation'!D$10, '4.Escalation'!G$28/VLOOKUP(F53,'4.Escalation'!$B$16:$D$27,3,0) )</f>
        <v>1.4128940443907485</v>
      </c>
      <c r="H53" s="116">
        <f>IF($F53="", '4.Escalation'!F$28/'4.Escalation'!C$10, '4.Escalation'!F$28/VLOOKUP(F53,'4.Escalation'!$B$16:$D$27,2,0) )</f>
        <v>1.3151235919899873</v>
      </c>
      <c r="I53" s="48">
        <f t="shared" si="13"/>
        <v>190.25</v>
      </c>
      <c r="J53" s="45">
        <f>SUM(L53:W53)</f>
        <v>100</v>
      </c>
      <c r="K53" s="46">
        <f>J53*I53</f>
        <v>19025</v>
      </c>
      <c r="L53" s="172"/>
      <c r="M53" s="174"/>
      <c r="N53" s="174"/>
      <c r="O53" s="172"/>
      <c r="P53" s="174"/>
      <c r="Q53" s="174"/>
      <c r="R53" s="174"/>
      <c r="S53" s="174">
        <f>S52</f>
        <v>100</v>
      </c>
      <c r="T53" s="172"/>
      <c r="U53" s="174"/>
      <c r="V53" s="174"/>
      <c r="W53" s="174"/>
    </row>
    <row r="54" spans="1:23" ht="14.4">
      <c r="A54" s="172">
        <v>8.4</v>
      </c>
      <c r="B54" s="173" t="s">
        <v>349</v>
      </c>
      <c r="C54" s="174" t="s">
        <v>76</v>
      </c>
      <c r="D54" s="171">
        <v>1000</v>
      </c>
      <c r="E54" s="171">
        <v>250</v>
      </c>
      <c r="F54" s="175">
        <v>44409</v>
      </c>
      <c r="G54" s="116">
        <f>IF(F54="", '4.Escalation'!G$28/'4.Escalation'!D$10, '4.Escalation'!G$28/VLOOKUP(F54,'4.Escalation'!$B$16:$D$27,3,0) )</f>
        <v>1.4128940443907485</v>
      </c>
      <c r="H54" s="116">
        <f>IF($F54="", '4.Escalation'!F$28/'4.Escalation'!C$10, '4.Escalation'!F$28/VLOOKUP(F54,'4.Escalation'!$B$16:$D$27,2,0) )</f>
        <v>1.3151235919899873</v>
      </c>
      <c r="I54" s="48">
        <f t="shared" si="13"/>
        <v>1741.67</v>
      </c>
      <c r="J54" s="45">
        <f t="shared" ref="J54:J57" si="14">SUM(L54:W54)</f>
        <v>2</v>
      </c>
      <c r="K54" s="46">
        <f t="shared" ref="K54:K57" si="15">J54*I54</f>
        <v>3483.34</v>
      </c>
      <c r="L54" s="172"/>
      <c r="M54" s="174"/>
      <c r="N54" s="174"/>
      <c r="O54" s="172"/>
      <c r="P54" s="174"/>
      <c r="Q54" s="174"/>
      <c r="R54" s="174"/>
      <c r="S54" s="174">
        <v>2</v>
      </c>
      <c r="T54" s="172"/>
      <c r="U54" s="174"/>
      <c r="V54" s="174"/>
      <c r="W54" s="174"/>
    </row>
    <row r="55" spans="1:23" ht="14.4">
      <c r="A55" s="172">
        <v>8.5</v>
      </c>
      <c r="B55" s="173" t="s">
        <v>350</v>
      </c>
      <c r="C55" s="174" t="s">
        <v>76</v>
      </c>
      <c r="D55" s="171">
        <v>50</v>
      </c>
      <c r="E55" s="171">
        <v>25</v>
      </c>
      <c r="F55" s="175">
        <v>44409</v>
      </c>
      <c r="G55" s="116">
        <f>IF(F55="", '4.Escalation'!G$28/'4.Escalation'!D$10, '4.Escalation'!G$28/VLOOKUP(F55,'4.Escalation'!$B$16:$D$27,3,0) )</f>
        <v>1.4128940443907485</v>
      </c>
      <c r="H55" s="116">
        <f>IF($F55="", '4.Escalation'!F$28/'4.Escalation'!C$10, '4.Escalation'!F$28/VLOOKUP(F55,'4.Escalation'!$B$16:$D$27,2,0) )</f>
        <v>1.3151235919899873</v>
      </c>
      <c r="I55" s="48">
        <f t="shared" si="13"/>
        <v>103.52</v>
      </c>
      <c r="J55" s="45">
        <f t="shared" si="14"/>
        <v>2</v>
      </c>
      <c r="K55" s="46">
        <f t="shared" si="15"/>
        <v>207.04</v>
      </c>
      <c r="L55" s="172"/>
      <c r="M55" s="174"/>
      <c r="N55" s="174"/>
      <c r="O55" s="172"/>
      <c r="P55" s="174"/>
      <c r="Q55" s="174"/>
      <c r="R55" s="174"/>
      <c r="S55" s="174">
        <v>2</v>
      </c>
      <c r="T55" s="172"/>
      <c r="U55" s="174"/>
      <c r="V55" s="174"/>
      <c r="W55" s="174"/>
    </row>
    <row r="56" spans="1:23" ht="14.4">
      <c r="A56" s="172">
        <v>8.6</v>
      </c>
      <c r="B56" s="173" t="s">
        <v>351</v>
      </c>
      <c r="C56" s="174" t="s">
        <v>302</v>
      </c>
      <c r="D56" s="171"/>
      <c r="E56" s="171">
        <v>200</v>
      </c>
      <c r="F56" s="175">
        <v>44409</v>
      </c>
      <c r="G56" s="116">
        <f>IF(F56="", '4.Escalation'!G$28/'4.Escalation'!D$10, '4.Escalation'!G$28/VLOOKUP(F56,'4.Escalation'!$B$16:$D$27,3,0) )</f>
        <v>1.4128940443907485</v>
      </c>
      <c r="H56" s="116">
        <f>IF($F56="", '4.Escalation'!F$28/'4.Escalation'!C$10, '4.Escalation'!F$28/VLOOKUP(F56,'4.Escalation'!$B$16:$D$27,2,0) )</f>
        <v>1.3151235919899873</v>
      </c>
      <c r="I56" s="48">
        <f t="shared" si="13"/>
        <v>263.02</v>
      </c>
      <c r="J56" s="45">
        <f t="shared" si="14"/>
        <v>42.75</v>
      </c>
      <c r="K56" s="46">
        <f t="shared" si="15"/>
        <v>11244.105</v>
      </c>
      <c r="L56" s="172"/>
      <c r="M56" s="174"/>
      <c r="N56" s="174"/>
      <c r="O56" s="172"/>
      <c r="P56" s="174"/>
      <c r="Q56" s="174"/>
      <c r="R56" s="174"/>
      <c r="S56" s="174">
        <f>S52*0.45*0.95</f>
        <v>42.75</v>
      </c>
      <c r="T56" s="172"/>
      <c r="U56" s="174"/>
      <c r="V56" s="174"/>
      <c r="W56" s="174"/>
    </row>
    <row r="57" spans="1:23" ht="14.4">
      <c r="A57" s="172">
        <v>8.6999999999999993</v>
      </c>
      <c r="B57" s="173" t="s">
        <v>352</v>
      </c>
      <c r="C57" s="174" t="s">
        <v>76</v>
      </c>
      <c r="D57" s="171">
        <v>10000</v>
      </c>
      <c r="E57" s="171">
        <v>1000</v>
      </c>
      <c r="F57" s="175">
        <v>44409</v>
      </c>
      <c r="G57" s="116">
        <f>IF(F57="", '4.Escalation'!G$28/'4.Escalation'!D$10, '4.Escalation'!G$28/VLOOKUP(F57,'4.Escalation'!$B$16:$D$27,3,0) )</f>
        <v>1.4128940443907485</v>
      </c>
      <c r="H57" s="116">
        <f>IF($F57="", '4.Escalation'!F$28/'4.Escalation'!C$10, '4.Escalation'!F$28/VLOOKUP(F57,'4.Escalation'!$B$16:$D$27,2,0) )</f>
        <v>1.3151235919899873</v>
      </c>
      <c r="I57" s="48">
        <f t="shared" si="13"/>
        <v>15444.06</v>
      </c>
      <c r="J57" s="45">
        <f t="shared" si="14"/>
        <v>1</v>
      </c>
      <c r="K57" s="46">
        <f t="shared" si="15"/>
        <v>15444.06</v>
      </c>
      <c r="L57" s="188"/>
      <c r="M57" s="188"/>
      <c r="N57" s="188"/>
      <c r="O57" s="188"/>
      <c r="P57" s="174"/>
      <c r="Q57" s="174"/>
      <c r="R57" s="174"/>
      <c r="S57" s="174"/>
      <c r="T57" s="172">
        <v>1</v>
      </c>
      <c r="U57" s="174"/>
      <c r="V57" s="174"/>
      <c r="W57" s="174"/>
    </row>
    <row r="58" spans="1:23">
      <c r="A58" s="172"/>
      <c r="B58" s="173"/>
      <c r="C58" s="174"/>
      <c r="D58" s="171"/>
      <c r="E58" s="171"/>
      <c r="F58" s="171"/>
      <c r="G58" s="44"/>
      <c r="H58" s="44"/>
      <c r="I58" s="48"/>
      <c r="J58" s="45"/>
      <c r="K58" s="46"/>
      <c r="L58" s="188"/>
      <c r="M58" s="188"/>
      <c r="N58" s="188"/>
      <c r="O58" s="188"/>
      <c r="P58" s="174"/>
      <c r="Q58" s="174"/>
      <c r="R58" s="174"/>
      <c r="S58" s="174"/>
      <c r="T58" s="172"/>
      <c r="U58" s="174"/>
      <c r="V58" s="174"/>
      <c r="W58" s="174"/>
    </row>
    <row r="59" spans="1:23">
      <c r="A59" s="172"/>
      <c r="B59" s="173"/>
      <c r="C59" s="174"/>
      <c r="D59" s="171"/>
      <c r="E59" s="171"/>
      <c r="F59" s="171"/>
      <c r="G59" s="44"/>
      <c r="H59" s="44"/>
      <c r="I59" s="48"/>
      <c r="J59" s="45"/>
      <c r="K59" s="46"/>
      <c r="L59" s="174"/>
      <c r="M59" s="174"/>
      <c r="N59" s="174"/>
      <c r="O59" s="172"/>
      <c r="P59" s="174"/>
      <c r="Q59" s="174"/>
      <c r="R59" s="174"/>
      <c r="S59" s="174"/>
      <c r="T59" s="172"/>
      <c r="U59" s="174"/>
      <c r="V59" s="174"/>
      <c r="W59" s="174"/>
    </row>
    <row r="60" spans="1:23">
      <c r="A60" s="49"/>
      <c r="B60" s="22" t="s">
        <v>353</v>
      </c>
      <c r="C60" s="23" t="s">
        <v>140</v>
      </c>
      <c r="D60" s="44"/>
      <c r="E60" s="52">
        <f>SUM(K8:K59)*0.1</f>
        <v>1509686.1999000001</v>
      </c>
      <c r="F60" s="52"/>
      <c r="G60" s="52"/>
      <c r="H60" s="52"/>
      <c r="I60" s="48">
        <f t="shared" ref="I60" si="16">D60+E60</f>
        <v>1509686.1999000001</v>
      </c>
      <c r="J60" s="50">
        <f>SUM(L60:T60)</f>
        <v>0.99826760392976155</v>
      </c>
      <c r="K60" s="46">
        <f>J60*I60</f>
        <v>1507070.8254600002</v>
      </c>
      <c r="L60" s="189">
        <f>L$68</f>
        <v>0.18098894004469196</v>
      </c>
      <c r="M60" s="189">
        <f t="shared" ref="M60:W60" si="17">M$68</f>
        <v>9.6817916736393159E-2</v>
      </c>
      <c r="N60" s="189">
        <f t="shared" si="17"/>
        <v>0.27835547919020226</v>
      </c>
      <c r="O60" s="189">
        <f t="shared" si="17"/>
        <v>0.33894462679323323</v>
      </c>
      <c r="P60" s="189">
        <f t="shared" si="17"/>
        <v>1.7731661746509416E-2</v>
      </c>
      <c r="Q60" s="189">
        <f t="shared" si="17"/>
        <v>3.3412163907533377E-2</v>
      </c>
      <c r="R60" s="189">
        <f t="shared" si="17"/>
        <v>4.5814576065265386E-2</v>
      </c>
      <c r="S60" s="189">
        <f t="shared" si="17"/>
        <v>5.0974015795532479E-3</v>
      </c>
      <c r="T60" s="189">
        <f t="shared" si="17"/>
        <v>1.1048378663794393E-3</v>
      </c>
      <c r="U60" s="189">
        <f t="shared" si="17"/>
        <v>1.7323960702384639E-3</v>
      </c>
      <c r="V60" s="189">
        <f t="shared" si="17"/>
        <v>0</v>
      </c>
      <c r="W60" s="189">
        <f t="shared" si="17"/>
        <v>0</v>
      </c>
    </row>
    <row r="61" spans="1:23">
      <c r="A61" s="49"/>
      <c r="B61" s="22"/>
      <c r="C61" s="23"/>
      <c r="D61" s="44"/>
      <c r="E61" s="44"/>
      <c r="F61" s="44"/>
      <c r="G61" s="44"/>
      <c r="H61" s="44"/>
      <c r="I61" s="48"/>
      <c r="J61" s="45"/>
      <c r="K61" s="46"/>
      <c r="L61" s="174"/>
      <c r="M61" s="174"/>
      <c r="N61" s="174"/>
      <c r="O61" s="172"/>
      <c r="P61" s="174"/>
      <c r="Q61" s="174"/>
      <c r="R61" s="174"/>
      <c r="S61" s="174"/>
      <c r="T61" s="172"/>
      <c r="U61" s="174"/>
      <c r="V61" s="174"/>
      <c r="W61" s="174"/>
    </row>
    <row r="62" spans="1:23">
      <c r="A62" s="49"/>
      <c r="B62" s="19" t="s">
        <v>310</v>
      </c>
      <c r="C62" s="23"/>
      <c r="D62" s="44"/>
      <c r="E62" s="44"/>
      <c r="F62" s="44"/>
      <c r="G62" s="44"/>
      <c r="H62" s="44"/>
      <c r="I62" s="48"/>
      <c r="J62" s="23"/>
      <c r="K62" s="46">
        <f>SUM(K4:K61)</f>
        <v>16603932.82446</v>
      </c>
      <c r="L62" s="46">
        <f t="shared" ref="L62:W62" si="18">SUMPRODUCT($I$8:$I$61, L$8:L$61)</f>
        <v>3005601.5563199995</v>
      </c>
      <c r="M62" s="46">
        <f t="shared" si="18"/>
        <v>1607811.4007999999</v>
      </c>
      <c r="N62" s="46">
        <f t="shared" si="18"/>
        <v>4622523.6815999998</v>
      </c>
      <c r="O62" s="46">
        <f>SUMPRODUCT($I$8:$I$61, O$8:O$61)</f>
        <v>5628700.2816000003</v>
      </c>
      <c r="P62" s="46">
        <f t="shared" si="18"/>
        <v>294461.69543999998</v>
      </c>
      <c r="Q62" s="46">
        <f t="shared" si="18"/>
        <v>554860.71036000003</v>
      </c>
      <c r="R62" s="46">
        <f t="shared" si="18"/>
        <v>760821.96564000007</v>
      </c>
      <c r="S62" s="46">
        <f t="shared" si="18"/>
        <v>84650.245019999988</v>
      </c>
      <c r="T62" s="46">
        <f t="shared" si="18"/>
        <v>18347.543280000002</v>
      </c>
      <c r="U62" s="46">
        <f t="shared" si="18"/>
        <v>28769.118840000003</v>
      </c>
      <c r="V62" s="46">
        <f t="shared" si="18"/>
        <v>0</v>
      </c>
      <c r="W62" s="46">
        <f t="shared" si="18"/>
        <v>0</v>
      </c>
    </row>
    <row r="63" spans="1:23">
      <c r="A63" s="53"/>
      <c r="B63" s="22" t="s">
        <v>311</v>
      </c>
      <c r="C63" s="23"/>
      <c r="D63" s="44"/>
      <c r="E63" s="44"/>
      <c r="F63" s="44"/>
      <c r="G63" s="44"/>
      <c r="H63" s="44"/>
      <c r="I63" s="48"/>
      <c r="J63" s="23"/>
      <c r="K63" s="46"/>
      <c r="L63" s="23">
        <f t="shared" ref="L63:W63" si="19">L6</f>
        <v>2000</v>
      </c>
      <c r="M63" s="23">
        <f t="shared" si="19"/>
        <v>2</v>
      </c>
      <c r="N63" s="23">
        <f t="shared" si="19"/>
        <v>1</v>
      </c>
      <c r="O63" s="23">
        <f t="shared" si="19"/>
        <v>8</v>
      </c>
      <c r="P63" s="23">
        <f t="shared" si="19"/>
        <v>300</v>
      </c>
      <c r="Q63" s="23">
        <f t="shared" si="19"/>
        <v>1</v>
      </c>
      <c r="R63" s="23">
        <f t="shared" si="19"/>
        <v>1</v>
      </c>
      <c r="S63" s="23">
        <f t="shared" si="19"/>
        <v>100</v>
      </c>
      <c r="T63" s="23">
        <f t="shared" si="19"/>
        <v>1</v>
      </c>
      <c r="U63" s="23">
        <f t="shared" si="19"/>
        <v>1</v>
      </c>
      <c r="V63" s="23">
        <f t="shared" si="19"/>
        <v>1</v>
      </c>
      <c r="W63" s="23">
        <f t="shared" si="19"/>
        <v>0.2</v>
      </c>
    </row>
    <row r="64" spans="1:23">
      <c r="A64" s="53"/>
      <c r="B64" s="22" t="s">
        <v>312</v>
      </c>
      <c r="C64" s="23"/>
      <c r="D64" s="44"/>
      <c r="E64" s="44"/>
      <c r="F64" s="44"/>
      <c r="G64" s="44"/>
      <c r="H64" s="44"/>
      <c r="I64" s="48"/>
      <c r="J64" s="23"/>
      <c r="K64" s="46"/>
      <c r="L64" s="46">
        <f t="shared" ref="L64:W64" si="20">L62/L63</f>
        <v>1502.8007781599997</v>
      </c>
      <c r="M64" s="46">
        <f t="shared" si="20"/>
        <v>803905.70039999997</v>
      </c>
      <c r="N64" s="46">
        <f t="shared" si="20"/>
        <v>4622523.6815999998</v>
      </c>
      <c r="O64" s="46">
        <f t="shared" si="20"/>
        <v>703587.53520000004</v>
      </c>
      <c r="P64" s="46">
        <f t="shared" si="20"/>
        <v>981.53898479999998</v>
      </c>
      <c r="Q64" s="46">
        <f t="shared" si="20"/>
        <v>554860.71036000003</v>
      </c>
      <c r="R64" s="46">
        <f t="shared" si="20"/>
        <v>760821.96564000007</v>
      </c>
      <c r="S64" s="46">
        <f t="shared" si="20"/>
        <v>846.50245019999988</v>
      </c>
      <c r="T64" s="46">
        <f t="shared" si="20"/>
        <v>18347.543280000002</v>
      </c>
      <c r="U64" s="46">
        <f t="shared" si="20"/>
        <v>28769.118840000003</v>
      </c>
      <c r="V64" s="46">
        <f t="shared" si="20"/>
        <v>0</v>
      </c>
      <c r="W64" s="46">
        <f t="shared" si="20"/>
        <v>0</v>
      </c>
    </row>
    <row r="65" spans="1:23" ht="52.8">
      <c r="A65" s="53"/>
      <c r="B65" s="22" t="s">
        <v>313</v>
      </c>
      <c r="C65" s="23"/>
      <c r="D65" s="44"/>
      <c r="E65" s="44"/>
      <c r="F65" s="44"/>
      <c r="G65" s="44"/>
      <c r="H65" s="44"/>
      <c r="I65" s="48"/>
      <c r="J65" s="23"/>
      <c r="K65" s="46"/>
      <c r="L65" s="46">
        <f>ROUND(L64,-1)</f>
        <v>1500</v>
      </c>
      <c r="M65" s="46">
        <f t="shared" ref="M65:O65" si="21">ROUND(M64,-3)</f>
        <v>804000</v>
      </c>
      <c r="N65" s="46">
        <f t="shared" si="21"/>
        <v>4623000</v>
      </c>
      <c r="O65" s="46">
        <f t="shared" si="21"/>
        <v>704000</v>
      </c>
      <c r="P65" s="46">
        <f>ROUND(P64,-1)</f>
        <v>980</v>
      </c>
      <c r="Q65" s="46">
        <f t="shared" ref="Q65:R65" si="22">ROUND(Q64,-3)</f>
        <v>555000</v>
      </c>
      <c r="R65" s="46">
        <f t="shared" si="22"/>
        <v>761000</v>
      </c>
      <c r="S65" s="46">
        <f>ROUND(S64,-1)</f>
        <v>850</v>
      </c>
      <c r="T65" s="46">
        <f>ROUND(T64,-2)</f>
        <v>18300</v>
      </c>
      <c r="U65" s="46">
        <f t="shared" ref="U65:V65" si="23">ROUND(U64,-3)</f>
        <v>29000</v>
      </c>
      <c r="V65" s="46">
        <f t="shared" si="23"/>
        <v>0</v>
      </c>
      <c r="W65" s="46">
        <f>ROUND(W64,-2)</f>
        <v>0</v>
      </c>
    </row>
    <row r="67" spans="1:23" ht="14.4">
      <c r="B67" s="60" t="s">
        <v>354</v>
      </c>
      <c r="L67" s="61">
        <f t="shared" ref="L67:W67" si="24">SUMPRODUCT(L9:L59, $I9:$I59)</f>
        <v>2529967.6399999997</v>
      </c>
      <c r="M67" s="61">
        <f t="shared" si="24"/>
        <v>1353376.6</v>
      </c>
      <c r="N67" s="61">
        <f t="shared" si="24"/>
        <v>3891013.2</v>
      </c>
      <c r="O67" s="61">
        <f t="shared" si="24"/>
        <v>4737963.2</v>
      </c>
      <c r="P67" s="61">
        <f t="shared" si="24"/>
        <v>247863.38</v>
      </c>
      <c r="Q67" s="61">
        <f t="shared" si="24"/>
        <v>467054.47000000003</v>
      </c>
      <c r="R67" s="61">
        <f t="shared" si="24"/>
        <v>640422.53</v>
      </c>
      <c r="S67" s="61">
        <f t="shared" si="24"/>
        <v>71254.415000000008</v>
      </c>
      <c r="T67" s="61">
        <f t="shared" si="24"/>
        <v>15444.06</v>
      </c>
      <c r="U67" s="61">
        <f t="shared" si="24"/>
        <v>24216.43</v>
      </c>
      <c r="V67" s="61">
        <f t="shared" si="24"/>
        <v>0</v>
      </c>
      <c r="W67" s="61">
        <f t="shared" si="24"/>
        <v>0</v>
      </c>
    </row>
    <row r="68" spans="1:23" ht="14.4">
      <c r="B68" s="60" t="s">
        <v>314</v>
      </c>
      <c r="L68" s="62">
        <f t="shared" ref="L68:W68" si="25">L67/SUM($L$67:$W$67)</f>
        <v>0.18098894004469196</v>
      </c>
      <c r="M68" s="62">
        <f t="shared" si="25"/>
        <v>9.6817916736393159E-2</v>
      </c>
      <c r="N68" s="62">
        <f t="shared" si="25"/>
        <v>0.27835547919020226</v>
      </c>
      <c r="O68" s="62">
        <f t="shared" si="25"/>
        <v>0.33894462679323323</v>
      </c>
      <c r="P68" s="62">
        <f t="shared" si="25"/>
        <v>1.7731661746509416E-2</v>
      </c>
      <c r="Q68" s="62">
        <f t="shared" si="25"/>
        <v>3.3412163907533377E-2</v>
      </c>
      <c r="R68" s="62">
        <f t="shared" si="25"/>
        <v>4.5814576065265386E-2</v>
      </c>
      <c r="S68" s="62">
        <f t="shared" si="25"/>
        <v>5.0974015795532479E-3</v>
      </c>
      <c r="T68" s="62">
        <f t="shared" si="25"/>
        <v>1.1048378663794393E-3</v>
      </c>
      <c r="U68" s="62">
        <f t="shared" si="25"/>
        <v>1.7323960702384639E-3</v>
      </c>
      <c r="V68" s="62">
        <f t="shared" si="25"/>
        <v>0</v>
      </c>
      <c r="W68" s="62">
        <f t="shared" si="25"/>
        <v>0</v>
      </c>
    </row>
    <row r="69" spans="1:23" ht="14.4">
      <c r="B69" s="63"/>
    </row>
    <row r="72" spans="1:23" s="56" customFormat="1">
      <c r="A72" s="32"/>
      <c r="B72" s="54"/>
      <c r="C72" s="30"/>
      <c r="D72" s="55"/>
      <c r="E72" s="55"/>
      <c r="F72" s="55"/>
      <c r="G72" s="55"/>
      <c r="H72" s="55"/>
      <c r="J72" s="30"/>
      <c r="K72" s="31"/>
      <c r="L72" s="30"/>
      <c r="M72" s="30"/>
      <c r="N72" s="30"/>
      <c r="O72" s="59"/>
      <c r="P72" s="30"/>
      <c r="Q72" s="30"/>
      <c r="R72" s="30"/>
      <c r="S72" s="30"/>
      <c r="T72" s="59"/>
      <c r="U72" s="30"/>
      <c r="V72" s="30"/>
      <c r="W72" s="30"/>
    </row>
    <row r="73" spans="1:23" s="56" customFormat="1">
      <c r="A73" s="32"/>
      <c r="B73" s="54"/>
      <c r="C73" s="30"/>
      <c r="D73" s="55"/>
      <c r="E73" s="55"/>
      <c r="F73" s="55"/>
      <c r="G73" s="55"/>
      <c r="H73" s="55"/>
      <c r="J73" s="30"/>
      <c r="K73" s="31"/>
      <c r="L73" s="30"/>
      <c r="M73" s="30"/>
      <c r="N73" s="30"/>
      <c r="O73" s="59"/>
      <c r="P73" s="30"/>
      <c r="Q73" s="30"/>
      <c r="R73" s="30"/>
      <c r="S73" s="30"/>
      <c r="T73" s="59"/>
      <c r="U73" s="30"/>
      <c r="V73" s="30"/>
      <c r="W73" s="30"/>
    </row>
    <row r="74" spans="1:23" s="56" customFormat="1">
      <c r="A74" s="32"/>
      <c r="B74" s="54"/>
      <c r="C74" s="30"/>
      <c r="D74" s="55"/>
      <c r="E74" s="55"/>
      <c r="F74" s="55"/>
      <c r="G74" s="55"/>
      <c r="H74" s="55"/>
      <c r="J74" s="30"/>
      <c r="K74" s="31"/>
      <c r="L74" s="30"/>
      <c r="M74" s="30"/>
      <c r="N74" s="30"/>
      <c r="O74" s="59"/>
      <c r="P74" s="30"/>
      <c r="Q74" s="30"/>
      <c r="R74" s="30"/>
      <c r="S74" s="30"/>
      <c r="T74" s="59"/>
      <c r="U74" s="30"/>
      <c r="V74" s="30"/>
      <c r="W74" s="30"/>
    </row>
  </sheetData>
  <pageMargins left="0.70866141732283472" right="0.70866141732283472" top="0.74803149606299213" bottom="0.74803149606299213" header="0.31496062992125984" footer="0.31496062992125984"/>
  <pageSetup paperSize="8" scale="72" fitToHeight="10" orientation="landscape" r:id="rId1"/>
  <headerFooter>
    <oddFooter>&amp;R&amp;A
Page &amp;P of &amp;N</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8A639-08B1-42F1-96C8-F6198E37E3FF}">
  <dimension ref="A1:J201"/>
  <sheetViews>
    <sheetView zoomScale="70" zoomScaleNormal="70" workbookViewId="0">
      <selection activeCell="H8" sqref="H8"/>
    </sheetView>
  </sheetViews>
  <sheetFormatPr defaultRowHeight="13.2"/>
  <cols>
    <col min="1" max="1" width="46.88671875" style="95" bestFit="1" customWidth="1"/>
    <col min="2" max="2" width="7.5546875" style="98" customWidth="1"/>
    <col min="3" max="3" width="9" style="190" customWidth="1"/>
    <col min="4" max="4" width="14.33203125" style="191" bestFit="1" customWidth="1"/>
    <col min="5" max="5" width="14.6640625" style="191" bestFit="1" customWidth="1"/>
    <col min="6" max="6" width="16.109375" style="191" bestFit="1" customWidth="1"/>
    <col min="7" max="7" width="12.44140625" style="95" bestFit="1" customWidth="1"/>
    <col min="8" max="10" width="12.6640625" style="98" bestFit="1" customWidth="1"/>
    <col min="11" max="246" width="8.88671875" style="95"/>
    <col min="247" max="247" width="6.88671875" style="95" bestFit="1" customWidth="1"/>
    <col min="248" max="248" width="17" style="95" bestFit="1" customWidth="1"/>
    <col min="249" max="249" width="44.44140625" style="95" customWidth="1"/>
    <col min="250" max="250" width="7.5546875" style="95" customWidth="1"/>
    <col min="251" max="251" width="9" style="95" customWidth="1"/>
    <col min="252" max="252" width="33.44140625" style="95" customWidth="1"/>
    <col min="253" max="254" width="30.6640625" style="95" customWidth="1"/>
    <col min="255" max="255" width="8.88671875" style="95"/>
    <col min="256" max="256" width="13" style="95" bestFit="1" customWidth="1"/>
    <col min="257" max="257" width="13.44140625" style="95" bestFit="1" customWidth="1"/>
    <col min="258" max="258" width="16" style="95" bestFit="1" customWidth="1"/>
    <col min="259" max="259" width="8.88671875" style="95"/>
    <col min="260" max="260" width="15.33203125" style="95" bestFit="1" customWidth="1"/>
    <col min="261" max="261" width="12" style="95" bestFit="1" customWidth="1"/>
    <col min="262" max="502" width="8.88671875" style="95"/>
    <col min="503" max="503" width="6.88671875" style="95" bestFit="1" customWidth="1"/>
    <col min="504" max="504" width="17" style="95" bestFit="1" customWidth="1"/>
    <col min="505" max="505" width="44.44140625" style="95" customWidth="1"/>
    <col min="506" max="506" width="7.5546875" style="95" customWidth="1"/>
    <col min="507" max="507" width="9" style="95" customWidth="1"/>
    <col min="508" max="508" width="33.44140625" style="95" customWidth="1"/>
    <col min="509" max="510" width="30.6640625" style="95" customWidth="1"/>
    <col min="511" max="511" width="8.88671875" style="95"/>
    <col min="512" max="512" width="13" style="95" bestFit="1" customWidth="1"/>
    <col min="513" max="513" width="13.44140625" style="95" bestFit="1" customWidth="1"/>
    <col min="514" max="514" width="16" style="95" bestFit="1" customWidth="1"/>
    <col min="515" max="515" width="8.88671875" style="95"/>
    <col min="516" max="516" width="15.33203125" style="95" bestFit="1" customWidth="1"/>
    <col min="517" max="517" width="12" style="95" bestFit="1" customWidth="1"/>
    <col min="518" max="758" width="8.88671875" style="95"/>
    <col min="759" max="759" width="6.88671875" style="95" bestFit="1" customWidth="1"/>
    <col min="760" max="760" width="17" style="95" bestFit="1" customWidth="1"/>
    <col min="761" max="761" width="44.44140625" style="95" customWidth="1"/>
    <col min="762" max="762" width="7.5546875" style="95" customWidth="1"/>
    <col min="763" max="763" width="9" style="95" customWidth="1"/>
    <col min="764" max="764" width="33.44140625" style="95" customWidth="1"/>
    <col min="765" max="766" width="30.6640625" style="95" customWidth="1"/>
    <col min="767" max="767" width="8.88671875" style="95"/>
    <col min="768" max="768" width="13" style="95" bestFit="1" customWidth="1"/>
    <col min="769" max="769" width="13.44140625" style="95" bestFit="1" customWidth="1"/>
    <col min="770" max="770" width="16" style="95" bestFit="1" customWidth="1"/>
    <col min="771" max="771" width="8.88671875" style="95"/>
    <col min="772" max="772" width="15.33203125" style="95" bestFit="1" customWidth="1"/>
    <col min="773" max="773" width="12" style="95" bestFit="1" customWidth="1"/>
    <col min="774" max="1014" width="8.88671875" style="95"/>
    <col min="1015" max="1015" width="6.88671875" style="95" bestFit="1" customWidth="1"/>
    <col min="1016" max="1016" width="17" style="95" bestFit="1" customWidth="1"/>
    <col min="1017" max="1017" width="44.44140625" style="95" customWidth="1"/>
    <col min="1018" max="1018" width="7.5546875" style="95" customWidth="1"/>
    <col min="1019" max="1019" width="9" style="95" customWidth="1"/>
    <col min="1020" max="1020" width="33.44140625" style="95" customWidth="1"/>
    <col min="1021" max="1022" width="30.6640625" style="95" customWidth="1"/>
    <col min="1023" max="1023" width="8.88671875" style="95"/>
    <col min="1024" max="1024" width="13" style="95" bestFit="1" customWidth="1"/>
    <col min="1025" max="1025" width="13.44140625" style="95" bestFit="1" customWidth="1"/>
    <col min="1026" max="1026" width="16" style="95" bestFit="1" customWidth="1"/>
    <col min="1027" max="1027" width="8.88671875" style="95"/>
    <col min="1028" max="1028" width="15.33203125" style="95" bestFit="1" customWidth="1"/>
    <col min="1029" max="1029" width="12" style="95" bestFit="1" customWidth="1"/>
    <col min="1030" max="1270" width="8.88671875" style="95"/>
    <col min="1271" max="1271" width="6.88671875" style="95" bestFit="1" customWidth="1"/>
    <col min="1272" max="1272" width="17" style="95" bestFit="1" customWidth="1"/>
    <col min="1273" max="1273" width="44.44140625" style="95" customWidth="1"/>
    <col min="1274" max="1274" width="7.5546875" style="95" customWidth="1"/>
    <col min="1275" max="1275" width="9" style="95" customWidth="1"/>
    <col min="1276" max="1276" width="33.44140625" style="95" customWidth="1"/>
    <col min="1277" max="1278" width="30.6640625" style="95" customWidth="1"/>
    <col min="1279" max="1279" width="8.88671875" style="95"/>
    <col min="1280" max="1280" width="13" style="95" bestFit="1" customWidth="1"/>
    <col min="1281" max="1281" width="13.44140625" style="95" bestFit="1" customWidth="1"/>
    <col min="1282" max="1282" width="16" style="95" bestFit="1" customWidth="1"/>
    <col min="1283" max="1283" width="8.88671875" style="95"/>
    <col min="1284" max="1284" width="15.33203125" style="95" bestFit="1" customWidth="1"/>
    <col min="1285" max="1285" width="12" style="95" bestFit="1" customWidth="1"/>
    <col min="1286" max="1526" width="8.88671875" style="95"/>
    <col min="1527" max="1527" width="6.88671875" style="95" bestFit="1" customWidth="1"/>
    <col min="1528" max="1528" width="17" style="95" bestFit="1" customWidth="1"/>
    <col min="1529" max="1529" width="44.44140625" style="95" customWidth="1"/>
    <col min="1530" max="1530" width="7.5546875" style="95" customWidth="1"/>
    <col min="1531" max="1531" width="9" style="95" customWidth="1"/>
    <col min="1532" max="1532" width="33.44140625" style="95" customWidth="1"/>
    <col min="1533" max="1534" width="30.6640625" style="95" customWidth="1"/>
    <col min="1535" max="1535" width="8.88671875" style="95"/>
    <col min="1536" max="1536" width="13" style="95" bestFit="1" customWidth="1"/>
    <col min="1537" max="1537" width="13.44140625" style="95" bestFit="1" customWidth="1"/>
    <col min="1538" max="1538" width="16" style="95" bestFit="1" customWidth="1"/>
    <col min="1539" max="1539" width="8.88671875" style="95"/>
    <col min="1540" max="1540" width="15.33203125" style="95" bestFit="1" customWidth="1"/>
    <col min="1541" max="1541" width="12" style="95" bestFit="1" customWidth="1"/>
    <col min="1542" max="1782" width="8.88671875" style="95"/>
    <col min="1783" max="1783" width="6.88671875" style="95" bestFit="1" customWidth="1"/>
    <col min="1784" max="1784" width="17" style="95" bestFit="1" customWidth="1"/>
    <col min="1785" max="1785" width="44.44140625" style="95" customWidth="1"/>
    <col min="1786" max="1786" width="7.5546875" style="95" customWidth="1"/>
    <col min="1787" max="1787" width="9" style="95" customWidth="1"/>
    <col min="1788" max="1788" width="33.44140625" style="95" customWidth="1"/>
    <col min="1789" max="1790" width="30.6640625" style="95" customWidth="1"/>
    <col min="1791" max="1791" width="8.88671875" style="95"/>
    <col min="1792" max="1792" width="13" style="95" bestFit="1" customWidth="1"/>
    <col min="1793" max="1793" width="13.44140625" style="95" bestFit="1" customWidth="1"/>
    <col min="1794" max="1794" width="16" style="95" bestFit="1" customWidth="1"/>
    <col min="1795" max="1795" width="8.88671875" style="95"/>
    <col min="1796" max="1796" width="15.33203125" style="95" bestFit="1" customWidth="1"/>
    <col min="1797" max="1797" width="12" style="95" bestFit="1" customWidth="1"/>
    <col min="1798" max="2038" width="8.88671875" style="95"/>
    <col min="2039" max="2039" width="6.88671875" style="95" bestFit="1" customWidth="1"/>
    <col min="2040" max="2040" width="17" style="95" bestFit="1" customWidth="1"/>
    <col min="2041" max="2041" width="44.44140625" style="95" customWidth="1"/>
    <col min="2042" max="2042" width="7.5546875" style="95" customWidth="1"/>
    <col min="2043" max="2043" width="9" style="95" customWidth="1"/>
    <col min="2044" max="2044" width="33.44140625" style="95" customWidth="1"/>
    <col min="2045" max="2046" width="30.6640625" style="95" customWidth="1"/>
    <col min="2047" max="2047" width="8.88671875" style="95"/>
    <col min="2048" max="2048" width="13" style="95" bestFit="1" customWidth="1"/>
    <col min="2049" max="2049" width="13.44140625" style="95" bestFit="1" customWidth="1"/>
    <col min="2050" max="2050" width="16" style="95" bestFit="1" customWidth="1"/>
    <col min="2051" max="2051" width="8.88671875" style="95"/>
    <col min="2052" max="2052" width="15.33203125" style="95" bestFit="1" customWidth="1"/>
    <col min="2053" max="2053" width="12" style="95" bestFit="1" customWidth="1"/>
    <col min="2054" max="2294" width="8.88671875" style="95"/>
    <col min="2295" max="2295" width="6.88671875" style="95" bestFit="1" customWidth="1"/>
    <col min="2296" max="2296" width="17" style="95" bestFit="1" customWidth="1"/>
    <col min="2297" max="2297" width="44.44140625" style="95" customWidth="1"/>
    <col min="2298" max="2298" width="7.5546875" style="95" customWidth="1"/>
    <col min="2299" max="2299" width="9" style="95" customWidth="1"/>
    <col min="2300" max="2300" width="33.44140625" style="95" customWidth="1"/>
    <col min="2301" max="2302" width="30.6640625" style="95" customWidth="1"/>
    <col min="2303" max="2303" width="8.88671875" style="95"/>
    <col min="2304" max="2304" width="13" style="95" bestFit="1" customWidth="1"/>
    <col min="2305" max="2305" width="13.44140625" style="95" bestFit="1" customWidth="1"/>
    <col min="2306" max="2306" width="16" style="95" bestFit="1" customWidth="1"/>
    <col min="2307" max="2307" width="8.88671875" style="95"/>
    <col min="2308" max="2308" width="15.33203125" style="95" bestFit="1" customWidth="1"/>
    <col min="2309" max="2309" width="12" style="95" bestFit="1" customWidth="1"/>
    <col min="2310" max="2550" width="8.88671875" style="95"/>
    <col min="2551" max="2551" width="6.88671875" style="95" bestFit="1" customWidth="1"/>
    <col min="2552" max="2552" width="17" style="95" bestFit="1" customWidth="1"/>
    <col min="2553" max="2553" width="44.44140625" style="95" customWidth="1"/>
    <col min="2554" max="2554" width="7.5546875" style="95" customWidth="1"/>
    <col min="2555" max="2555" width="9" style="95" customWidth="1"/>
    <col min="2556" max="2556" width="33.44140625" style="95" customWidth="1"/>
    <col min="2557" max="2558" width="30.6640625" style="95" customWidth="1"/>
    <col min="2559" max="2559" width="8.88671875" style="95"/>
    <col min="2560" max="2560" width="13" style="95" bestFit="1" customWidth="1"/>
    <col min="2561" max="2561" width="13.44140625" style="95" bestFit="1" customWidth="1"/>
    <col min="2562" max="2562" width="16" style="95" bestFit="1" customWidth="1"/>
    <col min="2563" max="2563" width="8.88671875" style="95"/>
    <col min="2564" max="2564" width="15.33203125" style="95" bestFit="1" customWidth="1"/>
    <col min="2565" max="2565" width="12" style="95" bestFit="1" customWidth="1"/>
    <col min="2566" max="2806" width="8.88671875" style="95"/>
    <col min="2807" max="2807" width="6.88671875" style="95" bestFit="1" customWidth="1"/>
    <col min="2808" max="2808" width="17" style="95" bestFit="1" customWidth="1"/>
    <col min="2809" max="2809" width="44.44140625" style="95" customWidth="1"/>
    <col min="2810" max="2810" width="7.5546875" style="95" customWidth="1"/>
    <col min="2811" max="2811" width="9" style="95" customWidth="1"/>
    <col min="2812" max="2812" width="33.44140625" style="95" customWidth="1"/>
    <col min="2813" max="2814" width="30.6640625" style="95" customWidth="1"/>
    <col min="2815" max="2815" width="8.88671875" style="95"/>
    <col min="2816" max="2816" width="13" style="95" bestFit="1" customWidth="1"/>
    <col min="2817" max="2817" width="13.44140625" style="95" bestFit="1" customWidth="1"/>
    <col min="2818" max="2818" width="16" style="95" bestFit="1" customWidth="1"/>
    <col min="2819" max="2819" width="8.88671875" style="95"/>
    <col min="2820" max="2820" width="15.33203125" style="95" bestFit="1" customWidth="1"/>
    <col min="2821" max="2821" width="12" style="95" bestFit="1" customWidth="1"/>
    <col min="2822" max="3062" width="8.88671875" style="95"/>
    <col min="3063" max="3063" width="6.88671875" style="95" bestFit="1" customWidth="1"/>
    <col min="3064" max="3064" width="17" style="95" bestFit="1" customWidth="1"/>
    <col min="3065" max="3065" width="44.44140625" style="95" customWidth="1"/>
    <col min="3066" max="3066" width="7.5546875" style="95" customWidth="1"/>
    <col min="3067" max="3067" width="9" style="95" customWidth="1"/>
    <col min="3068" max="3068" width="33.44140625" style="95" customWidth="1"/>
    <col min="3069" max="3070" width="30.6640625" style="95" customWidth="1"/>
    <col min="3071" max="3071" width="8.88671875" style="95"/>
    <col min="3072" max="3072" width="13" style="95" bestFit="1" customWidth="1"/>
    <col min="3073" max="3073" width="13.44140625" style="95" bestFit="1" customWidth="1"/>
    <col min="3074" max="3074" width="16" style="95" bestFit="1" customWidth="1"/>
    <col min="3075" max="3075" width="8.88671875" style="95"/>
    <col min="3076" max="3076" width="15.33203125" style="95" bestFit="1" customWidth="1"/>
    <col min="3077" max="3077" width="12" style="95" bestFit="1" customWidth="1"/>
    <col min="3078" max="3318" width="8.88671875" style="95"/>
    <col min="3319" max="3319" width="6.88671875" style="95" bestFit="1" customWidth="1"/>
    <col min="3320" max="3320" width="17" style="95" bestFit="1" customWidth="1"/>
    <col min="3321" max="3321" width="44.44140625" style="95" customWidth="1"/>
    <col min="3322" max="3322" width="7.5546875" style="95" customWidth="1"/>
    <col min="3323" max="3323" width="9" style="95" customWidth="1"/>
    <col min="3324" max="3324" width="33.44140625" style="95" customWidth="1"/>
    <col min="3325" max="3326" width="30.6640625" style="95" customWidth="1"/>
    <col min="3327" max="3327" width="8.88671875" style="95"/>
    <col min="3328" max="3328" width="13" style="95" bestFit="1" customWidth="1"/>
    <col min="3329" max="3329" width="13.44140625" style="95" bestFit="1" customWidth="1"/>
    <col min="3330" max="3330" width="16" style="95" bestFit="1" customWidth="1"/>
    <col min="3331" max="3331" width="8.88671875" style="95"/>
    <col min="3332" max="3332" width="15.33203125" style="95" bestFit="1" customWidth="1"/>
    <col min="3333" max="3333" width="12" style="95" bestFit="1" customWidth="1"/>
    <col min="3334" max="3574" width="8.88671875" style="95"/>
    <col min="3575" max="3575" width="6.88671875" style="95" bestFit="1" customWidth="1"/>
    <col min="3576" max="3576" width="17" style="95" bestFit="1" customWidth="1"/>
    <col min="3577" max="3577" width="44.44140625" style="95" customWidth="1"/>
    <col min="3578" max="3578" width="7.5546875" style="95" customWidth="1"/>
    <col min="3579" max="3579" width="9" style="95" customWidth="1"/>
    <col min="3580" max="3580" width="33.44140625" style="95" customWidth="1"/>
    <col min="3581" max="3582" width="30.6640625" style="95" customWidth="1"/>
    <col min="3583" max="3583" width="8.88671875" style="95"/>
    <col min="3584" max="3584" width="13" style="95" bestFit="1" customWidth="1"/>
    <col min="3585" max="3585" width="13.44140625" style="95" bestFit="1" customWidth="1"/>
    <col min="3586" max="3586" width="16" style="95" bestFit="1" customWidth="1"/>
    <col min="3587" max="3587" width="8.88671875" style="95"/>
    <col min="3588" max="3588" width="15.33203125" style="95" bestFit="1" customWidth="1"/>
    <col min="3589" max="3589" width="12" style="95" bestFit="1" customWidth="1"/>
    <col min="3590" max="3830" width="8.88671875" style="95"/>
    <col min="3831" max="3831" width="6.88671875" style="95" bestFit="1" customWidth="1"/>
    <col min="3832" max="3832" width="17" style="95" bestFit="1" customWidth="1"/>
    <col min="3833" max="3833" width="44.44140625" style="95" customWidth="1"/>
    <col min="3834" max="3834" width="7.5546875" style="95" customWidth="1"/>
    <col min="3835" max="3835" width="9" style="95" customWidth="1"/>
    <col min="3836" max="3836" width="33.44140625" style="95" customWidth="1"/>
    <col min="3837" max="3838" width="30.6640625" style="95" customWidth="1"/>
    <col min="3839" max="3839" width="8.88671875" style="95"/>
    <col min="3840" max="3840" width="13" style="95" bestFit="1" customWidth="1"/>
    <col min="3841" max="3841" width="13.44140625" style="95" bestFit="1" customWidth="1"/>
    <col min="3842" max="3842" width="16" style="95" bestFit="1" customWidth="1"/>
    <col min="3843" max="3843" width="8.88671875" style="95"/>
    <col min="3844" max="3844" width="15.33203125" style="95" bestFit="1" customWidth="1"/>
    <col min="3845" max="3845" width="12" style="95" bestFit="1" customWidth="1"/>
    <col min="3846" max="4086" width="8.88671875" style="95"/>
    <col min="4087" max="4087" width="6.88671875" style="95" bestFit="1" customWidth="1"/>
    <col min="4088" max="4088" width="17" style="95" bestFit="1" customWidth="1"/>
    <col min="4089" max="4089" width="44.44140625" style="95" customWidth="1"/>
    <col min="4090" max="4090" width="7.5546875" style="95" customWidth="1"/>
    <col min="4091" max="4091" width="9" style="95" customWidth="1"/>
    <col min="4092" max="4092" width="33.44140625" style="95" customWidth="1"/>
    <col min="4093" max="4094" width="30.6640625" style="95" customWidth="1"/>
    <col min="4095" max="4095" width="8.88671875" style="95"/>
    <col min="4096" max="4096" width="13" style="95" bestFit="1" customWidth="1"/>
    <col min="4097" max="4097" width="13.44140625" style="95" bestFit="1" customWidth="1"/>
    <col min="4098" max="4098" width="16" style="95" bestFit="1" customWidth="1"/>
    <col min="4099" max="4099" width="8.88671875" style="95"/>
    <col min="4100" max="4100" width="15.33203125" style="95" bestFit="1" customWidth="1"/>
    <col min="4101" max="4101" width="12" style="95" bestFit="1" customWidth="1"/>
    <col min="4102" max="4342" width="8.88671875" style="95"/>
    <col min="4343" max="4343" width="6.88671875" style="95" bestFit="1" customWidth="1"/>
    <col min="4344" max="4344" width="17" style="95" bestFit="1" customWidth="1"/>
    <col min="4345" max="4345" width="44.44140625" style="95" customWidth="1"/>
    <col min="4346" max="4346" width="7.5546875" style="95" customWidth="1"/>
    <col min="4347" max="4347" width="9" style="95" customWidth="1"/>
    <col min="4348" max="4348" width="33.44140625" style="95" customWidth="1"/>
    <col min="4349" max="4350" width="30.6640625" style="95" customWidth="1"/>
    <col min="4351" max="4351" width="8.88671875" style="95"/>
    <col min="4352" max="4352" width="13" style="95" bestFit="1" customWidth="1"/>
    <col min="4353" max="4353" width="13.44140625" style="95" bestFit="1" customWidth="1"/>
    <col min="4354" max="4354" width="16" style="95" bestFit="1" customWidth="1"/>
    <col min="4355" max="4355" width="8.88671875" style="95"/>
    <col min="4356" max="4356" width="15.33203125" style="95" bestFit="1" customWidth="1"/>
    <col min="4357" max="4357" width="12" style="95" bestFit="1" customWidth="1"/>
    <col min="4358" max="4598" width="8.88671875" style="95"/>
    <col min="4599" max="4599" width="6.88671875" style="95" bestFit="1" customWidth="1"/>
    <col min="4600" max="4600" width="17" style="95" bestFit="1" customWidth="1"/>
    <col min="4601" max="4601" width="44.44140625" style="95" customWidth="1"/>
    <col min="4602" max="4602" width="7.5546875" style="95" customWidth="1"/>
    <col min="4603" max="4603" width="9" style="95" customWidth="1"/>
    <col min="4604" max="4604" width="33.44140625" style="95" customWidth="1"/>
    <col min="4605" max="4606" width="30.6640625" style="95" customWidth="1"/>
    <col min="4607" max="4607" width="8.88671875" style="95"/>
    <col min="4608" max="4608" width="13" style="95" bestFit="1" customWidth="1"/>
    <col min="4609" max="4609" width="13.44140625" style="95" bestFit="1" customWidth="1"/>
    <col min="4610" max="4610" width="16" style="95" bestFit="1" customWidth="1"/>
    <col min="4611" max="4611" width="8.88671875" style="95"/>
    <col min="4612" max="4612" width="15.33203125" style="95" bestFit="1" customWidth="1"/>
    <col min="4613" max="4613" width="12" style="95" bestFit="1" customWidth="1"/>
    <col min="4614" max="4854" width="8.88671875" style="95"/>
    <col min="4855" max="4855" width="6.88671875" style="95" bestFit="1" customWidth="1"/>
    <col min="4856" max="4856" width="17" style="95" bestFit="1" customWidth="1"/>
    <col min="4857" max="4857" width="44.44140625" style="95" customWidth="1"/>
    <col min="4858" max="4858" width="7.5546875" style="95" customWidth="1"/>
    <col min="4859" max="4859" width="9" style="95" customWidth="1"/>
    <col min="4860" max="4860" width="33.44140625" style="95" customWidth="1"/>
    <col min="4861" max="4862" width="30.6640625" style="95" customWidth="1"/>
    <col min="4863" max="4863" width="8.88671875" style="95"/>
    <col min="4864" max="4864" width="13" style="95" bestFit="1" customWidth="1"/>
    <col min="4865" max="4865" width="13.44140625" style="95" bestFit="1" customWidth="1"/>
    <col min="4866" max="4866" width="16" style="95" bestFit="1" customWidth="1"/>
    <col min="4867" max="4867" width="8.88671875" style="95"/>
    <col min="4868" max="4868" width="15.33203125" style="95" bestFit="1" customWidth="1"/>
    <col min="4869" max="4869" width="12" style="95" bestFit="1" customWidth="1"/>
    <col min="4870" max="5110" width="8.88671875" style="95"/>
    <col min="5111" max="5111" width="6.88671875" style="95" bestFit="1" customWidth="1"/>
    <col min="5112" max="5112" width="17" style="95" bestFit="1" customWidth="1"/>
    <col min="5113" max="5113" width="44.44140625" style="95" customWidth="1"/>
    <col min="5114" max="5114" width="7.5546875" style="95" customWidth="1"/>
    <col min="5115" max="5115" width="9" style="95" customWidth="1"/>
    <col min="5116" max="5116" width="33.44140625" style="95" customWidth="1"/>
    <col min="5117" max="5118" width="30.6640625" style="95" customWidth="1"/>
    <col min="5119" max="5119" width="8.88671875" style="95"/>
    <col min="5120" max="5120" width="13" style="95" bestFit="1" customWidth="1"/>
    <col min="5121" max="5121" width="13.44140625" style="95" bestFit="1" customWidth="1"/>
    <col min="5122" max="5122" width="16" style="95" bestFit="1" customWidth="1"/>
    <col min="5123" max="5123" width="8.88671875" style="95"/>
    <col min="5124" max="5124" width="15.33203125" style="95" bestFit="1" customWidth="1"/>
    <col min="5125" max="5125" width="12" style="95" bestFit="1" customWidth="1"/>
    <col min="5126" max="5366" width="8.88671875" style="95"/>
    <col min="5367" max="5367" width="6.88671875" style="95" bestFit="1" customWidth="1"/>
    <col min="5368" max="5368" width="17" style="95" bestFit="1" customWidth="1"/>
    <col min="5369" max="5369" width="44.44140625" style="95" customWidth="1"/>
    <col min="5370" max="5370" width="7.5546875" style="95" customWidth="1"/>
    <col min="5371" max="5371" width="9" style="95" customWidth="1"/>
    <col min="5372" max="5372" width="33.44140625" style="95" customWidth="1"/>
    <col min="5373" max="5374" width="30.6640625" style="95" customWidth="1"/>
    <col min="5375" max="5375" width="8.88671875" style="95"/>
    <col min="5376" max="5376" width="13" style="95" bestFit="1" customWidth="1"/>
    <col min="5377" max="5377" width="13.44140625" style="95" bestFit="1" customWidth="1"/>
    <col min="5378" max="5378" width="16" style="95" bestFit="1" customWidth="1"/>
    <col min="5379" max="5379" width="8.88671875" style="95"/>
    <col min="5380" max="5380" width="15.33203125" style="95" bestFit="1" customWidth="1"/>
    <col min="5381" max="5381" width="12" style="95" bestFit="1" customWidth="1"/>
    <col min="5382" max="5622" width="8.88671875" style="95"/>
    <col min="5623" max="5623" width="6.88671875" style="95" bestFit="1" customWidth="1"/>
    <col min="5624" max="5624" width="17" style="95" bestFit="1" customWidth="1"/>
    <col min="5625" max="5625" width="44.44140625" style="95" customWidth="1"/>
    <col min="5626" max="5626" width="7.5546875" style="95" customWidth="1"/>
    <col min="5627" max="5627" width="9" style="95" customWidth="1"/>
    <col min="5628" max="5628" width="33.44140625" style="95" customWidth="1"/>
    <col min="5629" max="5630" width="30.6640625" style="95" customWidth="1"/>
    <col min="5631" max="5631" width="8.88671875" style="95"/>
    <col min="5632" max="5632" width="13" style="95" bestFit="1" customWidth="1"/>
    <col min="5633" max="5633" width="13.44140625" style="95" bestFit="1" customWidth="1"/>
    <col min="5634" max="5634" width="16" style="95" bestFit="1" customWidth="1"/>
    <col min="5635" max="5635" width="8.88671875" style="95"/>
    <col min="5636" max="5636" width="15.33203125" style="95" bestFit="1" customWidth="1"/>
    <col min="5637" max="5637" width="12" style="95" bestFit="1" customWidth="1"/>
    <col min="5638" max="5878" width="8.88671875" style="95"/>
    <col min="5879" max="5879" width="6.88671875" style="95" bestFit="1" customWidth="1"/>
    <col min="5880" max="5880" width="17" style="95" bestFit="1" customWidth="1"/>
    <col min="5881" max="5881" width="44.44140625" style="95" customWidth="1"/>
    <col min="5882" max="5882" width="7.5546875" style="95" customWidth="1"/>
    <col min="5883" max="5883" width="9" style="95" customWidth="1"/>
    <col min="5884" max="5884" width="33.44140625" style="95" customWidth="1"/>
    <col min="5885" max="5886" width="30.6640625" style="95" customWidth="1"/>
    <col min="5887" max="5887" width="8.88671875" style="95"/>
    <col min="5888" max="5888" width="13" style="95" bestFit="1" customWidth="1"/>
    <col min="5889" max="5889" width="13.44140625" style="95" bestFit="1" customWidth="1"/>
    <col min="5890" max="5890" width="16" style="95" bestFit="1" customWidth="1"/>
    <col min="5891" max="5891" width="8.88671875" style="95"/>
    <col min="5892" max="5892" width="15.33203125" style="95" bestFit="1" customWidth="1"/>
    <col min="5893" max="5893" width="12" style="95" bestFit="1" customWidth="1"/>
    <col min="5894" max="6134" width="8.88671875" style="95"/>
    <col min="6135" max="6135" width="6.88671875" style="95" bestFit="1" customWidth="1"/>
    <col min="6136" max="6136" width="17" style="95" bestFit="1" customWidth="1"/>
    <col min="6137" max="6137" width="44.44140625" style="95" customWidth="1"/>
    <col min="6138" max="6138" width="7.5546875" style="95" customWidth="1"/>
    <col min="6139" max="6139" width="9" style="95" customWidth="1"/>
    <col min="6140" max="6140" width="33.44140625" style="95" customWidth="1"/>
    <col min="6141" max="6142" width="30.6640625" style="95" customWidth="1"/>
    <col min="6143" max="6143" width="8.88671875" style="95"/>
    <col min="6144" max="6144" width="13" style="95" bestFit="1" customWidth="1"/>
    <col min="6145" max="6145" width="13.44140625" style="95" bestFit="1" customWidth="1"/>
    <col min="6146" max="6146" width="16" style="95" bestFit="1" customWidth="1"/>
    <col min="6147" max="6147" width="8.88671875" style="95"/>
    <col min="6148" max="6148" width="15.33203125" style="95" bestFit="1" customWidth="1"/>
    <col min="6149" max="6149" width="12" style="95" bestFit="1" customWidth="1"/>
    <col min="6150" max="6390" width="8.88671875" style="95"/>
    <col min="6391" max="6391" width="6.88671875" style="95" bestFit="1" customWidth="1"/>
    <col min="6392" max="6392" width="17" style="95" bestFit="1" customWidth="1"/>
    <col min="6393" max="6393" width="44.44140625" style="95" customWidth="1"/>
    <col min="6394" max="6394" width="7.5546875" style="95" customWidth="1"/>
    <col min="6395" max="6395" width="9" style="95" customWidth="1"/>
    <col min="6396" max="6396" width="33.44140625" style="95" customWidth="1"/>
    <col min="6397" max="6398" width="30.6640625" style="95" customWidth="1"/>
    <col min="6399" max="6399" width="8.88671875" style="95"/>
    <col min="6400" max="6400" width="13" style="95" bestFit="1" customWidth="1"/>
    <col min="6401" max="6401" width="13.44140625" style="95" bestFit="1" customWidth="1"/>
    <col min="6402" max="6402" width="16" style="95" bestFit="1" customWidth="1"/>
    <col min="6403" max="6403" width="8.88671875" style="95"/>
    <col min="6404" max="6404" width="15.33203125" style="95" bestFit="1" customWidth="1"/>
    <col min="6405" max="6405" width="12" style="95" bestFit="1" customWidth="1"/>
    <col min="6406" max="6646" width="8.88671875" style="95"/>
    <col min="6647" max="6647" width="6.88671875" style="95" bestFit="1" customWidth="1"/>
    <col min="6648" max="6648" width="17" style="95" bestFit="1" customWidth="1"/>
    <col min="6649" max="6649" width="44.44140625" style="95" customWidth="1"/>
    <col min="6650" max="6650" width="7.5546875" style="95" customWidth="1"/>
    <col min="6651" max="6651" width="9" style="95" customWidth="1"/>
    <col min="6652" max="6652" width="33.44140625" style="95" customWidth="1"/>
    <col min="6653" max="6654" width="30.6640625" style="95" customWidth="1"/>
    <col min="6655" max="6655" width="8.88671875" style="95"/>
    <col min="6656" max="6656" width="13" style="95" bestFit="1" customWidth="1"/>
    <col min="6657" max="6657" width="13.44140625" style="95" bestFit="1" customWidth="1"/>
    <col min="6658" max="6658" width="16" style="95" bestFit="1" customWidth="1"/>
    <col min="6659" max="6659" width="8.88671875" style="95"/>
    <col min="6660" max="6660" width="15.33203125" style="95" bestFit="1" customWidth="1"/>
    <col min="6661" max="6661" width="12" style="95" bestFit="1" customWidth="1"/>
    <col min="6662" max="6902" width="8.88671875" style="95"/>
    <col min="6903" max="6903" width="6.88671875" style="95" bestFit="1" customWidth="1"/>
    <col min="6904" max="6904" width="17" style="95" bestFit="1" customWidth="1"/>
    <col min="6905" max="6905" width="44.44140625" style="95" customWidth="1"/>
    <col min="6906" max="6906" width="7.5546875" style="95" customWidth="1"/>
    <col min="6907" max="6907" width="9" style="95" customWidth="1"/>
    <col min="6908" max="6908" width="33.44140625" style="95" customWidth="1"/>
    <col min="6909" max="6910" width="30.6640625" style="95" customWidth="1"/>
    <col min="6911" max="6911" width="8.88671875" style="95"/>
    <col min="6912" max="6912" width="13" style="95" bestFit="1" customWidth="1"/>
    <col min="6913" max="6913" width="13.44140625" style="95" bestFit="1" customWidth="1"/>
    <col min="6914" max="6914" width="16" style="95" bestFit="1" customWidth="1"/>
    <col min="6915" max="6915" width="8.88671875" style="95"/>
    <col min="6916" max="6916" width="15.33203125" style="95" bestFit="1" customWidth="1"/>
    <col min="6917" max="6917" width="12" style="95" bestFit="1" customWidth="1"/>
    <col min="6918" max="7158" width="8.88671875" style="95"/>
    <col min="7159" max="7159" width="6.88671875" style="95" bestFit="1" customWidth="1"/>
    <col min="7160" max="7160" width="17" style="95" bestFit="1" customWidth="1"/>
    <col min="7161" max="7161" width="44.44140625" style="95" customWidth="1"/>
    <col min="7162" max="7162" width="7.5546875" style="95" customWidth="1"/>
    <col min="7163" max="7163" width="9" style="95" customWidth="1"/>
    <col min="7164" max="7164" width="33.44140625" style="95" customWidth="1"/>
    <col min="7165" max="7166" width="30.6640625" style="95" customWidth="1"/>
    <col min="7167" max="7167" width="8.88671875" style="95"/>
    <col min="7168" max="7168" width="13" style="95" bestFit="1" customWidth="1"/>
    <col min="7169" max="7169" width="13.44140625" style="95" bestFit="1" customWidth="1"/>
    <col min="7170" max="7170" width="16" style="95" bestFit="1" customWidth="1"/>
    <col min="7171" max="7171" width="8.88671875" style="95"/>
    <col min="7172" max="7172" width="15.33203125" style="95" bestFit="1" customWidth="1"/>
    <col min="7173" max="7173" width="12" style="95" bestFit="1" customWidth="1"/>
    <col min="7174" max="7414" width="8.88671875" style="95"/>
    <col min="7415" max="7415" width="6.88671875" style="95" bestFit="1" customWidth="1"/>
    <col min="7416" max="7416" width="17" style="95" bestFit="1" customWidth="1"/>
    <col min="7417" max="7417" width="44.44140625" style="95" customWidth="1"/>
    <col min="7418" max="7418" width="7.5546875" style="95" customWidth="1"/>
    <col min="7419" max="7419" width="9" style="95" customWidth="1"/>
    <col min="7420" max="7420" width="33.44140625" style="95" customWidth="1"/>
    <col min="7421" max="7422" width="30.6640625" style="95" customWidth="1"/>
    <col min="7423" max="7423" width="8.88671875" style="95"/>
    <col min="7424" max="7424" width="13" style="95" bestFit="1" customWidth="1"/>
    <col min="7425" max="7425" width="13.44140625" style="95" bestFit="1" customWidth="1"/>
    <col min="7426" max="7426" width="16" style="95" bestFit="1" customWidth="1"/>
    <col min="7427" max="7427" width="8.88671875" style="95"/>
    <col min="7428" max="7428" width="15.33203125" style="95" bestFit="1" customWidth="1"/>
    <col min="7429" max="7429" width="12" style="95" bestFit="1" customWidth="1"/>
    <col min="7430" max="7670" width="8.88671875" style="95"/>
    <col min="7671" max="7671" width="6.88671875" style="95" bestFit="1" customWidth="1"/>
    <col min="7672" max="7672" width="17" style="95" bestFit="1" customWidth="1"/>
    <col min="7673" max="7673" width="44.44140625" style="95" customWidth="1"/>
    <col min="7674" max="7674" width="7.5546875" style="95" customWidth="1"/>
    <col min="7675" max="7675" width="9" style="95" customWidth="1"/>
    <col min="7676" max="7676" width="33.44140625" style="95" customWidth="1"/>
    <col min="7677" max="7678" width="30.6640625" style="95" customWidth="1"/>
    <col min="7679" max="7679" width="8.88671875" style="95"/>
    <col min="7680" max="7680" width="13" style="95" bestFit="1" customWidth="1"/>
    <col min="7681" max="7681" width="13.44140625" style="95" bestFit="1" customWidth="1"/>
    <col min="7682" max="7682" width="16" style="95" bestFit="1" customWidth="1"/>
    <col min="7683" max="7683" width="8.88671875" style="95"/>
    <col min="7684" max="7684" width="15.33203125" style="95" bestFit="1" customWidth="1"/>
    <col min="7685" max="7685" width="12" style="95" bestFit="1" customWidth="1"/>
    <col min="7686" max="7926" width="8.88671875" style="95"/>
    <col min="7927" max="7927" width="6.88671875" style="95" bestFit="1" customWidth="1"/>
    <col min="7928" max="7928" width="17" style="95" bestFit="1" customWidth="1"/>
    <col min="7929" max="7929" width="44.44140625" style="95" customWidth="1"/>
    <col min="7930" max="7930" width="7.5546875" style="95" customWidth="1"/>
    <col min="7931" max="7931" width="9" style="95" customWidth="1"/>
    <col min="7932" max="7932" width="33.44140625" style="95" customWidth="1"/>
    <col min="7933" max="7934" width="30.6640625" style="95" customWidth="1"/>
    <col min="7935" max="7935" width="8.88671875" style="95"/>
    <col min="7936" max="7936" width="13" style="95" bestFit="1" customWidth="1"/>
    <col min="7937" max="7937" width="13.44140625" style="95" bestFit="1" customWidth="1"/>
    <col min="7938" max="7938" width="16" style="95" bestFit="1" customWidth="1"/>
    <col min="7939" max="7939" width="8.88671875" style="95"/>
    <col min="7940" max="7940" width="15.33203125" style="95" bestFit="1" customWidth="1"/>
    <col min="7941" max="7941" width="12" style="95" bestFit="1" customWidth="1"/>
    <col min="7942" max="8182" width="8.88671875" style="95"/>
    <col min="8183" max="8183" width="6.88671875" style="95" bestFit="1" customWidth="1"/>
    <col min="8184" max="8184" width="17" style="95" bestFit="1" customWidth="1"/>
    <col min="8185" max="8185" width="44.44140625" style="95" customWidth="1"/>
    <col min="8186" max="8186" width="7.5546875" style="95" customWidth="1"/>
    <col min="8187" max="8187" width="9" style="95" customWidth="1"/>
    <col min="8188" max="8188" width="33.44140625" style="95" customWidth="1"/>
    <col min="8189" max="8190" width="30.6640625" style="95" customWidth="1"/>
    <col min="8191" max="8191" width="8.88671875" style="95"/>
    <col min="8192" max="8192" width="13" style="95" bestFit="1" customWidth="1"/>
    <col min="8193" max="8193" width="13.44140625" style="95" bestFit="1" customWidth="1"/>
    <col min="8194" max="8194" width="16" style="95" bestFit="1" customWidth="1"/>
    <col min="8195" max="8195" width="8.88671875" style="95"/>
    <col min="8196" max="8196" width="15.33203125" style="95" bestFit="1" customWidth="1"/>
    <col min="8197" max="8197" width="12" style="95" bestFit="1" customWidth="1"/>
    <col min="8198" max="8438" width="8.88671875" style="95"/>
    <col min="8439" max="8439" width="6.88671875" style="95" bestFit="1" customWidth="1"/>
    <col min="8440" max="8440" width="17" style="95" bestFit="1" customWidth="1"/>
    <col min="8441" max="8441" width="44.44140625" style="95" customWidth="1"/>
    <col min="8442" max="8442" width="7.5546875" style="95" customWidth="1"/>
    <col min="8443" max="8443" width="9" style="95" customWidth="1"/>
    <col min="8444" max="8444" width="33.44140625" style="95" customWidth="1"/>
    <col min="8445" max="8446" width="30.6640625" style="95" customWidth="1"/>
    <col min="8447" max="8447" width="8.88671875" style="95"/>
    <col min="8448" max="8448" width="13" style="95" bestFit="1" customWidth="1"/>
    <col min="8449" max="8449" width="13.44140625" style="95" bestFit="1" customWidth="1"/>
    <col min="8450" max="8450" width="16" style="95" bestFit="1" customWidth="1"/>
    <col min="8451" max="8451" width="8.88671875" style="95"/>
    <col min="8452" max="8452" width="15.33203125" style="95" bestFit="1" customWidth="1"/>
    <col min="8453" max="8453" width="12" style="95" bestFit="1" customWidth="1"/>
    <col min="8454" max="8694" width="8.88671875" style="95"/>
    <col min="8695" max="8695" width="6.88671875" style="95" bestFit="1" customWidth="1"/>
    <col min="8696" max="8696" width="17" style="95" bestFit="1" customWidth="1"/>
    <col min="8697" max="8697" width="44.44140625" style="95" customWidth="1"/>
    <col min="8698" max="8698" width="7.5546875" style="95" customWidth="1"/>
    <col min="8699" max="8699" width="9" style="95" customWidth="1"/>
    <col min="8700" max="8700" width="33.44140625" style="95" customWidth="1"/>
    <col min="8701" max="8702" width="30.6640625" style="95" customWidth="1"/>
    <col min="8703" max="8703" width="8.88671875" style="95"/>
    <col min="8704" max="8704" width="13" style="95" bestFit="1" customWidth="1"/>
    <col min="8705" max="8705" width="13.44140625" style="95" bestFit="1" customWidth="1"/>
    <col min="8706" max="8706" width="16" style="95" bestFit="1" customWidth="1"/>
    <col min="8707" max="8707" width="8.88671875" style="95"/>
    <col min="8708" max="8708" width="15.33203125" style="95" bestFit="1" customWidth="1"/>
    <col min="8709" max="8709" width="12" style="95" bestFit="1" customWidth="1"/>
    <col min="8710" max="8950" width="8.88671875" style="95"/>
    <col min="8951" max="8951" width="6.88671875" style="95" bestFit="1" customWidth="1"/>
    <col min="8952" max="8952" width="17" style="95" bestFit="1" customWidth="1"/>
    <col min="8953" max="8953" width="44.44140625" style="95" customWidth="1"/>
    <col min="8954" max="8954" width="7.5546875" style="95" customWidth="1"/>
    <col min="8955" max="8955" width="9" style="95" customWidth="1"/>
    <col min="8956" max="8956" width="33.44140625" style="95" customWidth="1"/>
    <col min="8957" max="8958" width="30.6640625" style="95" customWidth="1"/>
    <col min="8959" max="8959" width="8.88671875" style="95"/>
    <col min="8960" max="8960" width="13" style="95" bestFit="1" customWidth="1"/>
    <col min="8961" max="8961" width="13.44140625" style="95" bestFit="1" customWidth="1"/>
    <col min="8962" max="8962" width="16" style="95" bestFit="1" customWidth="1"/>
    <col min="8963" max="8963" width="8.88671875" style="95"/>
    <col min="8964" max="8964" width="15.33203125" style="95" bestFit="1" customWidth="1"/>
    <col min="8965" max="8965" width="12" style="95" bestFit="1" customWidth="1"/>
    <col min="8966" max="9206" width="8.88671875" style="95"/>
    <col min="9207" max="9207" width="6.88671875" style="95" bestFit="1" customWidth="1"/>
    <col min="9208" max="9208" width="17" style="95" bestFit="1" customWidth="1"/>
    <col min="9209" max="9209" width="44.44140625" style="95" customWidth="1"/>
    <col min="9210" max="9210" width="7.5546875" style="95" customWidth="1"/>
    <col min="9211" max="9211" width="9" style="95" customWidth="1"/>
    <col min="9212" max="9212" width="33.44140625" style="95" customWidth="1"/>
    <col min="9213" max="9214" width="30.6640625" style="95" customWidth="1"/>
    <col min="9215" max="9215" width="8.88671875" style="95"/>
    <col min="9216" max="9216" width="13" style="95" bestFit="1" customWidth="1"/>
    <col min="9217" max="9217" width="13.44140625" style="95" bestFit="1" customWidth="1"/>
    <col min="9218" max="9218" width="16" style="95" bestFit="1" customWidth="1"/>
    <col min="9219" max="9219" width="8.88671875" style="95"/>
    <col min="9220" max="9220" width="15.33203125" style="95" bestFit="1" customWidth="1"/>
    <col min="9221" max="9221" width="12" style="95" bestFit="1" customWidth="1"/>
    <col min="9222" max="9462" width="8.88671875" style="95"/>
    <col min="9463" max="9463" width="6.88671875" style="95" bestFit="1" customWidth="1"/>
    <col min="9464" max="9464" width="17" style="95" bestFit="1" customWidth="1"/>
    <col min="9465" max="9465" width="44.44140625" style="95" customWidth="1"/>
    <col min="9466" max="9466" width="7.5546875" style="95" customWidth="1"/>
    <col min="9467" max="9467" width="9" style="95" customWidth="1"/>
    <col min="9468" max="9468" width="33.44140625" style="95" customWidth="1"/>
    <col min="9469" max="9470" width="30.6640625" style="95" customWidth="1"/>
    <col min="9471" max="9471" width="8.88671875" style="95"/>
    <col min="9472" max="9472" width="13" style="95" bestFit="1" customWidth="1"/>
    <col min="9473" max="9473" width="13.44140625" style="95" bestFit="1" customWidth="1"/>
    <col min="9474" max="9474" width="16" style="95" bestFit="1" customWidth="1"/>
    <col min="9475" max="9475" width="8.88671875" style="95"/>
    <col min="9476" max="9476" width="15.33203125" style="95" bestFit="1" customWidth="1"/>
    <col min="9477" max="9477" width="12" style="95" bestFit="1" customWidth="1"/>
    <col min="9478" max="9718" width="8.88671875" style="95"/>
    <col min="9719" max="9719" width="6.88671875" style="95" bestFit="1" customWidth="1"/>
    <col min="9720" max="9720" width="17" style="95" bestFit="1" customWidth="1"/>
    <col min="9721" max="9721" width="44.44140625" style="95" customWidth="1"/>
    <col min="9722" max="9722" width="7.5546875" style="95" customWidth="1"/>
    <col min="9723" max="9723" width="9" style="95" customWidth="1"/>
    <col min="9724" max="9724" width="33.44140625" style="95" customWidth="1"/>
    <col min="9725" max="9726" width="30.6640625" style="95" customWidth="1"/>
    <col min="9727" max="9727" width="8.88671875" style="95"/>
    <col min="9728" max="9728" width="13" style="95" bestFit="1" customWidth="1"/>
    <col min="9729" max="9729" width="13.44140625" style="95" bestFit="1" customWidth="1"/>
    <col min="9730" max="9730" width="16" style="95" bestFit="1" customWidth="1"/>
    <col min="9731" max="9731" width="8.88671875" style="95"/>
    <col min="9732" max="9732" width="15.33203125" style="95" bestFit="1" customWidth="1"/>
    <col min="9733" max="9733" width="12" style="95" bestFit="1" customWidth="1"/>
    <col min="9734" max="9974" width="8.88671875" style="95"/>
    <col min="9975" max="9975" width="6.88671875" style="95" bestFit="1" customWidth="1"/>
    <col min="9976" max="9976" width="17" style="95" bestFit="1" customWidth="1"/>
    <col min="9977" max="9977" width="44.44140625" style="95" customWidth="1"/>
    <col min="9978" max="9978" width="7.5546875" style="95" customWidth="1"/>
    <col min="9979" max="9979" width="9" style="95" customWidth="1"/>
    <col min="9980" max="9980" width="33.44140625" style="95" customWidth="1"/>
    <col min="9981" max="9982" width="30.6640625" style="95" customWidth="1"/>
    <col min="9983" max="9983" width="8.88671875" style="95"/>
    <col min="9984" max="9984" width="13" style="95" bestFit="1" customWidth="1"/>
    <col min="9985" max="9985" width="13.44140625" style="95" bestFit="1" customWidth="1"/>
    <col min="9986" max="9986" width="16" style="95" bestFit="1" customWidth="1"/>
    <col min="9987" max="9987" width="8.88671875" style="95"/>
    <col min="9988" max="9988" width="15.33203125" style="95" bestFit="1" customWidth="1"/>
    <col min="9989" max="9989" width="12" style="95" bestFit="1" customWidth="1"/>
    <col min="9990" max="10230" width="8.88671875" style="95"/>
    <col min="10231" max="10231" width="6.88671875" style="95" bestFit="1" customWidth="1"/>
    <col min="10232" max="10232" width="17" style="95" bestFit="1" customWidth="1"/>
    <col min="10233" max="10233" width="44.44140625" style="95" customWidth="1"/>
    <col min="10234" max="10234" width="7.5546875" style="95" customWidth="1"/>
    <col min="10235" max="10235" width="9" style="95" customWidth="1"/>
    <col min="10236" max="10236" width="33.44140625" style="95" customWidth="1"/>
    <col min="10237" max="10238" width="30.6640625" style="95" customWidth="1"/>
    <col min="10239" max="10239" width="8.88671875" style="95"/>
    <col min="10240" max="10240" width="13" style="95" bestFit="1" customWidth="1"/>
    <col min="10241" max="10241" width="13.44140625" style="95" bestFit="1" customWidth="1"/>
    <col min="10242" max="10242" width="16" style="95" bestFit="1" customWidth="1"/>
    <col min="10243" max="10243" width="8.88671875" style="95"/>
    <col min="10244" max="10244" width="15.33203125" style="95" bestFit="1" customWidth="1"/>
    <col min="10245" max="10245" width="12" style="95" bestFit="1" customWidth="1"/>
    <col min="10246" max="10486" width="8.88671875" style="95"/>
    <col min="10487" max="10487" width="6.88671875" style="95" bestFit="1" customWidth="1"/>
    <col min="10488" max="10488" width="17" style="95" bestFit="1" customWidth="1"/>
    <col min="10489" max="10489" width="44.44140625" style="95" customWidth="1"/>
    <col min="10490" max="10490" width="7.5546875" style="95" customWidth="1"/>
    <col min="10491" max="10491" width="9" style="95" customWidth="1"/>
    <col min="10492" max="10492" width="33.44140625" style="95" customWidth="1"/>
    <col min="10493" max="10494" width="30.6640625" style="95" customWidth="1"/>
    <col min="10495" max="10495" width="8.88671875" style="95"/>
    <col min="10496" max="10496" width="13" style="95" bestFit="1" customWidth="1"/>
    <col min="10497" max="10497" width="13.44140625" style="95" bestFit="1" customWidth="1"/>
    <col min="10498" max="10498" width="16" style="95" bestFit="1" customWidth="1"/>
    <col min="10499" max="10499" width="8.88671875" style="95"/>
    <col min="10500" max="10500" width="15.33203125" style="95" bestFit="1" customWidth="1"/>
    <col min="10501" max="10501" width="12" style="95" bestFit="1" customWidth="1"/>
    <col min="10502" max="10742" width="8.88671875" style="95"/>
    <col min="10743" max="10743" width="6.88671875" style="95" bestFit="1" customWidth="1"/>
    <col min="10744" max="10744" width="17" style="95" bestFit="1" customWidth="1"/>
    <col min="10745" max="10745" width="44.44140625" style="95" customWidth="1"/>
    <col min="10746" max="10746" width="7.5546875" style="95" customWidth="1"/>
    <col min="10747" max="10747" width="9" style="95" customWidth="1"/>
    <col min="10748" max="10748" width="33.44140625" style="95" customWidth="1"/>
    <col min="10749" max="10750" width="30.6640625" style="95" customWidth="1"/>
    <col min="10751" max="10751" width="8.88671875" style="95"/>
    <col min="10752" max="10752" width="13" style="95" bestFit="1" customWidth="1"/>
    <col min="10753" max="10753" width="13.44140625" style="95" bestFit="1" customWidth="1"/>
    <col min="10754" max="10754" width="16" style="95" bestFit="1" customWidth="1"/>
    <col min="10755" max="10755" width="8.88671875" style="95"/>
    <col min="10756" max="10756" width="15.33203125" style="95" bestFit="1" customWidth="1"/>
    <col min="10757" max="10757" width="12" style="95" bestFit="1" customWidth="1"/>
    <col min="10758" max="10998" width="8.88671875" style="95"/>
    <col min="10999" max="10999" width="6.88671875" style="95" bestFit="1" customWidth="1"/>
    <col min="11000" max="11000" width="17" style="95" bestFit="1" customWidth="1"/>
    <col min="11001" max="11001" width="44.44140625" style="95" customWidth="1"/>
    <col min="11002" max="11002" width="7.5546875" style="95" customWidth="1"/>
    <col min="11003" max="11003" width="9" style="95" customWidth="1"/>
    <col min="11004" max="11004" width="33.44140625" style="95" customWidth="1"/>
    <col min="11005" max="11006" width="30.6640625" style="95" customWidth="1"/>
    <col min="11007" max="11007" width="8.88671875" style="95"/>
    <col min="11008" max="11008" width="13" style="95" bestFit="1" customWidth="1"/>
    <col min="11009" max="11009" width="13.44140625" style="95" bestFit="1" customWidth="1"/>
    <col min="11010" max="11010" width="16" style="95" bestFit="1" customWidth="1"/>
    <col min="11011" max="11011" width="8.88671875" style="95"/>
    <col min="11012" max="11012" width="15.33203125" style="95" bestFit="1" customWidth="1"/>
    <col min="11013" max="11013" width="12" style="95" bestFit="1" customWidth="1"/>
    <col min="11014" max="11254" width="8.88671875" style="95"/>
    <col min="11255" max="11255" width="6.88671875" style="95" bestFit="1" customWidth="1"/>
    <col min="11256" max="11256" width="17" style="95" bestFit="1" customWidth="1"/>
    <col min="11257" max="11257" width="44.44140625" style="95" customWidth="1"/>
    <col min="11258" max="11258" width="7.5546875" style="95" customWidth="1"/>
    <col min="11259" max="11259" width="9" style="95" customWidth="1"/>
    <col min="11260" max="11260" width="33.44140625" style="95" customWidth="1"/>
    <col min="11261" max="11262" width="30.6640625" style="95" customWidth="1"/>
    <col min="11263" max="11263" width="8.88671875" style="95"/>
    <col min="11264" max="11264" width="13" style="95" bestFit="1" customWidth="1"/>
    <col min="11265" max="11265" width="13.44140625" style="95" bestFit="1" customWidth="1"/>
    <col min="11266" max="11266" width="16" style="95" bestFit="1" customWidth="1"/>
    <col min="11267" max="11267" width="8.88671875" style="95"/>
    <col min="11268" max="11268" width="15.33203125" style="95" bestFit="1" customWidth="1"/>
    <col min="11269" max="11269" width="12" style="95" bestFit="1" customWidth="1"/>
    <col min="11270" max="11510" width="8.88671875" style="95"/>
    <col min="11511" max="11511" width="6.88671875" style="95" bestFit="1" customWidth="1"/>
    <col min="11512" max="11512" width="17" style="95" bestFit="1" customWidth="1"/>
    <col min="11513" max="11513" width="44.44140625" style="95" customWidth="1"/>
    <col min="11514" max="11514" width="7.5546875" style="95" customWidth="1"/>
    <col min="11515" max="11515" width="9" style="95" customWidth="1"/>
    <col min="11516" max="11516" width="33.44140625" style="95" customWidth="1"/>
    <col min="11517" max="11518" width="30.6640625" style="95" customWidth="1"/>
    <col min="11519" max="11519" width="8.88671875" style="95"/>
    <col min="11520" max="11520" width="13" style="95" bestFit="1" customWidth="1"/>
    <col min="11521" max="11521" width="13.44140625" style="95" bestFit="1" customWidth="1"/>
    <col min="11522" max="11522" width="16" style="95" bestFit="1" customWidth="1"/>
    <col min="11523" max="11523" width="8.88671875" style="95"/>
    <col min="11524" max="11524" width="15.33203125" style="95" bestFit="1" customWidth="1"/>
    <col min="11525" max="11525" width="12" style="95" bestFit="1" customWidth="1"/>
    <col min="11526" max="11766" width="8.88671875" style="95"/>
    <col min="11767" max="11767" width="6.88671875" style="95" bestFit="1" customWidth="1"/>
    <col min="11768" max="11768" width="17" style="95" bestFit="1" customWidth="1"/>
    <col min="11769" max="11769" width="44.44140625" style="95" customWidth="1"/>
    <col min="11770" max="11770" width="7.5546875" style="95" customWidth="1"/>
    <col min="11771" max="11771" width="9" style="95" customWidth="1"/>
    <col min="11772" max="11772" width="33.44140625" style="95" customWidth="1"/>
    <col min="11773" max="11774" width="30.6640625" style="95" customWidth="1"/>
    <col min="11775" max="11775" width="8.88671875" style="95"/>
    <col min="11776" max="11776" width="13" style="95" bestFit="1" customWidth="1"/>
    <col min="11777" max="11777" width="13.44140625" style="95" bestFit="1" customWidth="1"/>
    <col min="11778" max="11778" width="16" style="95" bestFit="1" customWidth="1"/>
    <col min="11779" max="11779" width="8.88671875" style="95"/>
    <col min="11780" max="11780" width="15.33203125" style="95" bestFit="1" customWidth="1"/>
    <col min="11781" max="11781" width="12" style="95" bestFit="1" customWidth="1"/>
    <col min="11782" max="12022" width="8.88671875" style="95"/>
    <col min="12023" max="12023" width="6.88671875" style="95" bestFit="1" customWidth="1"/>
    <col min="12024" max="12024" width="17" style="95" bestFit="1" customWidth="1"/>
    <col min="12025" max="12025" width="44.44140625" style="95" customWidth="1"/>
    <col min="12026" max="12026" width="7.5546875" style="95" customWidth="1"/>
    <col min="12027" max="12027" width="9" style="95" customWidth="1"/>
    <col min="12028" max="12028" width="33.44140625" style="95" customWidth="1"/>
    <col min="12029" max="12030" width="30.6640625" style="95" customWidth="1"/>
    <col min="12031" max="12031" width="8.88671875" style="95"/>
    <col min="12032" max="12032" width="13" style="95" bestFit="1" customWidth="1"/>
    <col min="12033" max="12033" width="13.44140625" style="95" bestFit="1" customWidth="1"/>
    <col min="12034" max="12034" width="16" style="95" bestFit="1" customWidth="1"/>
    <col min="12035" max="12035" width="8.88671875" style="95"/>
    <col min="12036" max="12036" width="15.33203125" style="95" bestFit="1" customWidth="1"/>
    <col min="12037" max="12037" width="12" style="95" bestFit="1" customWidth="1"/>
    <col min="12038" max="12278" width="8.88671875" style="95"/>
    <col min="12279" max="12279" width="6.88671875" style="95" bestFit="1" customWidth="1"/>
    <col min="12280" max="12280" width="17" style="95" bestFit="1" customWidth="1"/>
    <col min="12281" max="12281" width="44.44140625" style="95" customWidth="1"/>
    <col min="12282" max="12282" width="7.5546875" style="95" customWidth="1"/>
    <col min="12283" max="12283" width="9" style="95" customWidth="1"/>
    <col min="12284" max="12284" width="33.44140625" style="95" customWidth="1"/>
    <col min="12285" max="12286" width="30.6640625" style="95" customWidth="1"/>
    <col min="12287" max="12287" width="8.88671875" style="95"/>
    <col min="12288" max="12288" width="13" style="95" bestFit="1" customWidth="1"/>
    <col min="12289" max="12289" width="13.44140625" style="95" bestFit="1" customWidth="1"/>
    <col min="12290" max="12290" width="16" style="95" bestFit="1" customWidth="1"/>
    <col min="12291" max="12291" width="8.88671875" style="95"/>
    <col min="12292" max="12292" width="15.33203125" style="95" bestFit="1" customWidth="1"/>
    <col min="12293" max="12293" width="12" style="95" bestFit="1" customWidth="1"/>
    <col min="12294" max="12534" width="8.88671875" style="95"/>
    <col min="12535" max="12535" width="6.88671875" style="95" bestFit="1" customWidth="1"/>
    <col min="12536" max="12536" width="17" style="95" bestFit="1" customWidth="1"/>
    <col min="12537" max="12537" width="44.44140625" style="95" customWidth="1"/>
    <col min="12538" max="12538" width="7.5546875" style="95" customWidth="1"/>
    <col min="12539" max="12539" width="9" style="95" customWidth="1"/>
    <col min="12540" max="12540" width="33.44140625" style="95" customWidth="1"/>
    <col min="12541" max="12542" width="30.6640625" style="95" customWidth="1"/>
    <col min="12543" max="12543" width="8.88671875" style="95"/>
    <col min="12544" max="12544" width="13" style="95" bestFit="1" customWidth="1"/>
    <col min="12545" max="12545" width="13.44140625" style="95" bestFit="1" customWidth="1"/>
    <col min="12546" max="12546" width="16" style="95" bestFit="1" customWidth="1"/>
    <col min="12547" max="12547" width="8.88671875" style="95"/>
    <col min="12548" max="12548" width="15.33203125" style="95" bestFit="1" customWidth="1"/>
    <col min="12549" max="12549" width="12" style="95" bestFit="1" customWidth="1"/>
    <col min="12550" max="12790" width="8.88671875" style="95"/>
    <col min="12791" max="12791" width="6.88671875" style="95" bestFit="1" customWidth="1"/>
    <col min="12792" max="12792" width="17" style="95" bestFit="1" customWidth="1"/>
    <col min="12793" max="12793" width="44.44140625" style="95" customWidth="1"/>
    <col min="12794" max="12794" width="7.5546875" style="95" customWidth="1"/>
    <col min="12795" max="12795" width="9" style="95" customWidth="1"/>
    <col min="12796" max="12796" width="33.44140625" style="95" customWidth="1"/>
    <col min="12797" max="12798" width="30.6640625" style="95" customWidth="1"/>
    <col min="12799" max="12799" width="8.88671875" style="95"/>
    <col min="12800" max="12800" width="13" style="95" bestFit="1" customWidth="1"/>
    <col min="12801" max="12801" width="13.44140625" style="95" bestFit="1" customWidth="1"/>
    <col min="12802" max="12802" width="16" style="95" bestFit="1" customWidth="1"/>
    <col min="12803" max="12803" width="8.88671875" style="95"/>
    <col min="12804" max="12804" width="15.33203125" style="95" bestFit="1" customWidth="1"/>
    <col min="12805" max="12805" width="12" style="95" bestFit="1" customWidth="1"/>
    <col min="12806" max="13046" width="8.88671875" style="95"/>
    <col min="13047" max="13047" width="6.88671875" style="95" bestFit="1" customWidth="1"/>
    <col min="13048" max="13048" width="17" style="95" bestFit="1" customWidth="1"/>
    <col min="13049" max="13049" width="44.44140625" style="95" customWidth="1"/>
    <col min="13050" max="13050" width="7.5546875" style="95" customWidth="1"/>
    <col min="13051" max="13051" width="9" style="95" customWidth="1"/>
    <col min="13052" max="13052" width="33.44140625" style="95" customWidth="1"/>
    <col min="13053" max="13054" width="30.6640625" style="95" customWidth="1"/>
    <col min="13055" max="13055" width="8.88671875" style="95"/>
    <col min="13056" max="13056" width="13" style="95" bestFit="1" customWidth="1"/>
    <col min="13057" max="13057" width="13.44140625" style="95" bestFit="1" customWidth="1"/>
    <col min="13058" max="13058" width="16" style="95" bestFit="1" customWidth="1"/>
    <col min="13059" max="13059" width="8.88671875" style="95"/>
    <col min="13060" max="13060" width="15.33203125" style="95" bestFit="1" customWidth="1"/>
    <col min="13061" max="13061" width="12" style="95" bestFit="1" customWidth="1"/>
    <col min="13062" max="13302" width="8.88671875" style="95"/>
    <col min="13303" max="13303" width="6.88671875" style="95" bestFit="1" customWidth="1"/>
    <col min="13304" max="13304" width="17" style="95" bestFit="1" customWidth="1"/>
    <col min="13305" max="13305" width="44.44140625" style="95" customWidth="1"/>
    <col min="13306" max="13306" width="7.5546875" style="95" customWidth="1"/>
    <col min="13307" max="13307" width="9" style="95" customWidth="1"/>
    <col min="13308" max="13308" width="33.44140625" style="95" customWidth="1"/>
    <col min="13309" max="13310" width="30.6640625" style="95" customWidth="1"/>
    <col min="13311" max="13311" width="8.88671875" style="95"/>
    <col min="13312" max="13312" width="13" style="95" bestFit="1" customWidth="1"/>
    <col min="13313" max="13313" width="13.44140625" style="95" bestFit="1" customWidth="1"/>
    <col min="13314" max="13314" width="16" style="95" bestFit="1" customWidth="1"/>
    <col min="13315" max="13315" width="8.88671875" style="95"/>
    <col min="13316" max="13316" width="15.33203125" style="95" bestFit="1" customWidth="1"/>
    <col min="13317" max="13317" width="12" style="95" bestFit="1" customWidth="1"/>
    <col min="13318" max="13558" width="8.88671875" style="95"/>
    <col min="13559" max="13559" width="6.88671875" style="95" bestFit="1" customWidth="1"/>
    <col min="13560" max="13560" width="17" style="95" bestFit="1" customWidth="1"/>
    <col min="13561" max="13561" width="44.44140625" style="95" customWidth="1"/>
    <col min="13562" max="13562" width="7.5546875" style="95" customWidth="1"/>
    <col min="13563" max="13563" width="9" style="95" customWidth="1"/>
    <col min="13564" max="13564" width="33.44140625" style="95" customWidth="1"/>
    <col min="13565" max="13566" width="30.6640625" style="95" customWidth="1"/>
    <col min="13567" max="13567" width="8.88671875" style="95"/>
    <col min="13568" max="13568" width="13" style="95" bestFit="1" customWidth="1"/>
    <col min="13569" max="13569" width="13.44140625" style="95" bestFit="1" customWidth="1"/>
    <col min="13570" max="13570" width="16" style="95" bestFit="1" customWidth="1"/>
    <col min="13571" max="13571" width="8.88671875" style="95"/>
    <col min="13572" max="13572" width="15.33203125" style="95" bestFit="1" customWidth="1"/>
    <col min="13573" max="13573" width="12" style="95" bestFit="1" customWidth="1"/>
    <col min="13574" max="13814" width="8.88671875" style="95"/>
    <col min="13815" max="13815" width="6.88671875" style="95" bestFit="1" customWidth="1"/>
    <col min="13816" max="13816" width="17" style="95" bestFit="1" customWidth="1"/>
    <col min="13817" max="13817" width="44.44140625" style="95" customWidth="1"/>
    <col min="13818" max="13818" width="7.5546875" style="95" customWidth="1"/>
    <col min="13819" max="13819" width="9" style="95" customWidth="1"/>
    <col min="13820" max="13820" width="33.44140625" style="95" customWidth="1"/>
    <col min="13821" max="13822" width="30.6640625" style="95" customWidth="1"/>
    <col min="13823" max="13823" width="8.88671875" style="95"/>
    <col min="13824" max="13824" width="13" style="95" bestFit="1" customWidth="1"/>
    <col min="13825" max="13825" width="13.44140625" style="95" bestFit="1" customWidth="1"/>
    <col min="13826" max="13826" width="16" style="95" bestFit="1" customWidth="1"/>
    <col min="13827" max="13827" width="8.88671875" style="95"/>
    <col min="13828" max="13828" width="15.33203125" style="95" bestFit="1" customWidth="1"/>
    <col min="13829" max="13829" width="12" style="95" bestFit="1" customWidth="1"/>
    <col min="13830" max="14070" width="8.88671875" style="95"/>
    <col min="14071" max="14071" width="6.88671875" style="95" bestFit="1" customWidth="1"/>
    <col min="14072" max="14072" width="17" style="95" bestFit="1" customWidth="1"/>
    <col min="14073" max="14073" width="44.44140625" style="95" customWidth="1"/>
    <col min="14074" max="14074" width="7.5546875" style="95" customWidth="1"/>
    <col min="14075" max="14075" width="9" style="95" customWidth="1"/>
    <col min="14076" max="14076" width="33.44140625" style="95" customWidth="1"/>
    <col min="14077" max="14078" width="30.6640625" style="95" customWidth="1"/>
    <col min="14079" max="14079" width="8.88671875" style="95"/>
    <col min="14080" max="14080" width="13" style="95" bestFit="1" customWidth="1"/>
    <col min="14081" max="14081" width="13.44140625" style="95" bestFit="1" customWidth="1"/>
    <col min="14082" max="14082" width="16" style="95" bestFit="1" customWidth="1"/>
    <col min="14083" max="14083" width="8.88671875" style="95"/>
    <col min="14084" max="14084" width="15.33203125" style="95" bestFit="1" customWidth="1"/>
    <col min="14085" max="14085" width="12" style="95" bestFit="1" customWidth="1"/>
    <col min="14086" max="14326" width="8.88671875" style="95"/>
    <col min="14327" max="14327" width="6.88671875" style="95" bestFit="1" customWidth="1"/>
    <col min="14328" max="14328" width="17" style="95" bestFit="1" customWidth="1"/>
    <col min="14329" max="14329" width="44.44140625" style="95" customWidth="1"/>
    <col min="14330" max="14330" width="7.5546875" style="95" customWidth="1"/>
    <col min="14331" max="14331" width="9" style="95" customWidth="1"/>
    <col min="14332" max="14332" width="33.44140625" style="95" customWidth="1"/>
    <col min="14333" max="14334" width="30.6640625" style="95" customWidth="1"/>
    <col min="14335" max="14335" width="8.88671875" style="95"/>
    <col min="14336" max="14336" width="13" style="95" bestFit="1" customWidth="1"/>
    <col min="14337" max="14337" width="13.44140625" style="95" bestFit="1" customWidth="1"/>
    <col min="14338" max="14338" width="16" style="95" bestFit="1" customWidth="1"/>
    <col min="14339" max="14339" width="8.88671875" style="95"/>
    <col min="14340" max="14340" width="15.33203125" style="95" bestFit="1" customWidth="1"/>
    <col min="14341" max="14341" width="12" style="95" bestFit="1" customWidth="1"/>
    <col min="14342" max="14582" width="8.88671875" style="95"/>
    <col min="14583" max="14583" width="6.88671875" style="95" bestFit="1" customWidth="1"/>
    <col min="14584" max="14584" width="17" style="95" bestFit="1" customWidth="1"/>
    <col min="14585" max="14585" width="44.44140625" style="95" customWidth="1"/>
    <col min="14586" max="14586" width="7.5546875" style="95" customWidth="1"/>
    <col min="14587" max="14587" width="9" style="95" customWidth="1"/>
    <col min="14588" max="14588" width="33.44140625" style="95" customWidth="1"/>
    <col min="14589" max="14590" width="30.6640625" style="95" customWidth="1"/>
    <col min="14591" max="14591" width="8.88671875" style="95"/>
    <col min="14592" max="14592" width="13" style="95" bestFit="1" customWidth="1"/>
    <col min="14593" max="14593" width="13.44140625" style="95" bestFit="1" customWidth="1"/>
    <col min="14594" max="14594" width="16" style="95" bestFit="1" customWidth="1"/>
    <col min="14595" max="14595" width="8.88671875" style="95"/>
    <col min="14596" max="14596" width="15.33203125" style="95" bestFit="1" customWidth="1"/>
    <col min="14597" max="14597" width="12" style="95" bestFit="1" customWidth="1"/>
    <col min="14598" max="14838" width="8.88671875" style="95"/>
    <col min="14839" max="14839" width="6.88671875" style="95" bestFit="1" customWidth="1"/>
    <col min="14840" max="14840" width="17" style="95" bestFit="1" customWidth="1"/>
    <col min="14841" max="14841" width="44.44140625" style="95" customWidth="1"/>
    <col min="14842" max="14842" width="7.5546875" style="95" customWidth="1"/>
    <col min="14843" max="14843" width="9" style="95" customWidth="1"/>
    <col min="14844" max="14844" width="33.44140625" style="95" customWidth="1"/>
    <col min="14845" max="14846" width="30.6640625" style="95" customWidth="1"/>
    <col min="14847" max="14847" width="8.88671875" style="95"/>
    <col min="14848" max="14848" width="13" style="95" bestFit="1" customWidth="1"/>
    <col min="14849" max="14849" width="13.44140625" style="95" bestFit="1" customWidth="1"/>
    <col min="14850" max="14850" width="16" style="95" bestFit="1" customWidth="1"/>
    <col min="14851" max="14851" width="8.88671875" style="95"/>
    <col min="14852" max="14852" width="15.33203125" style="95" bestFit="1" customWidth="1"/>
    <col min="14853" max="14853" width="12" style="95" bestFit="1" customWidth="1"/>
    <col min="14854" max="15094" width="8.88671875" style="95"/>
    <col min="15095" max="15095" width="6.88671875" style="95" bestFit="1" customWidth="1"/>
    <col min="15096" max="15096" width="17" style="95" bestFit="1" customWidth="1"/>
    <col min="15097" max="15097" width="44.44140625" style="95" customWidth="1"/>
    <col min="15098" max="15098" width="7.5546875" style="95" customWidth="1"/>
    <col min="15099" max="15099" width="9" style="95" customWidth="1"/>
    <col min="15100" max="15100" width="33.44140625" style="95" customWidth="1"/>
    <col min="15101" max="15102" width="30.6640625" style="95" customWidth="1"/>
    <col min="15103" max="15103" width="8.88671875" style="95"/>
    <col min="15104" max="15104" width="13" style="95" bestFit="1" customWidth="1"/>
    <col min="15105" max="15105" width="13.44140625" style="95" bestFit="1" customWidth="1"/>
    <col min="15106" max="15106" width="16" style="95" bestFit="1" customWidth="1"/>
    <col min="15107" max="15107" width="8.88671875" style="95"/>
    <col min="15108" max="15108" width="15.33203125" style="95" bestFit="1" customWidth="1"/>
    <col min="15109" max="15109" width="12" style="95" bestFit="1" customWidth="1"/>
    <col min="15110" max="15350" width="8.88671875" style="95"/>
    <col min="15351" max="15351" width="6.88671875" style="95" bestFit="1" customWidth="1"/>
    <col min="15352" max="15352" width="17" style="95" bestFit="1" customWidth="1"/>
    <col min="15353" max="15353" width="44.44140625" style="95" customWidth="1"/>
    <col min="15354" max="15354" width="7.5546875" style="95" customWidth="1"/>
    <col min="15355" max="15355" width="9" style="95" customWidth="1"/>
    <col min="15356" max="15356" width="33.44140625" style="95" customWidth="1"/>
    <col min="15357" max="15358" width="30.6640625" style="95" customWidth="1"/>
    <col min="15359" max="15359" width="8.88671875" style="95"/>
    <col min="15360" max="15360" width="13" style="95" bestFit="1" customWidth="1"/>
    <col min="15361" max="15361" width="13.44140625" style="95" bestFit="1" customWidth="1"/>
    <col min="15362" max="15362" width="16" style="95" bestFit="1" customWidth="1"/>
    <col min="15363" max="15363" width="8.88671875" style="95"/>
    <col min="15364" max="15364" width="15.33203125" style="95" bestFit="1" customWidth="1"/>
    <col min="15365" max="15365" width="12" style="95" bestFit="1" customWidth="1"/>
    <col min="15366" max="15606" width="8.88671875" style="95"/>
    <col min="15607" max="15607" width="6.88671875" style="95" bestFit="1" customWidth="1"/>
    <col min="15608" max="15608" width="17" style="95" bestFit="1" customWidth="1"/>
    <col min="15609" max="15609" width="44.44140625" style="95" customWidth="1"/>
    <col min="15610" max="15610" width="7.5546875" style="95" customWidth="1"/>
    <col min="15611" max="15611" width="9" style="95" customWidth="1"/>
    <col min="15612" max="15612" width="33.44140625" style="95" customWidth="1"/>
    <col min="15613" max="15614" width="30.6640625" style="95" customWidth="1"/>
    <col min="15615" max="15615" width="8.88671875" style="95"/>
    <col min="15616" max="15616" width="13" style="95" bestFit="1" customWidth="1"/>
    <col min="15617" max="15617" width="13.44140625" style="95" bestFit="1" customWidth="1"/>
    <col min="15618" max="15618" width="16" style="95" bestFit="1" customWidth="1"/>
    <col min="15619" max="15619" width="8.88671875" style="95"/>
    <col min="15620" max="15620" width="15.33203125" style="95" bestFit="1" customWidth="1"/>
    <col min="15621" max="15621" width="12" style="95" bestFit="1" customWidth="1"/>
    <col min="15622" max="15862" width="8.88671875" style="95"/>
    <col min="15863" max="15863" width="6.88671875" style="95" bestFit="1" customWidth="1"/>
    <col min="15864" max="15864" width="17" style="95" bestFit="1" customWidth="1"/>
    <col min="15865" max="15865" width="44.44140625" style="95" customWidth="1"/>
    <col min="15866" max="15866" width="7.5546875" style="95" customWidth="1"/>
    <col min="15867" max="15867" width="9" style="95" customWidth="1"/>
    <col min="15868" max="15868" width="33.44140625" style="95" customWidth="1"/>
    <col min="15869" max="15870" width="30.6640625" style="95" customWidth="1"/>
    <col min="15871" max="15871" width="8.88671875" style="95"/>
    <col min="15872" max="15872" width="13" style="95" bestFit="1" customWidth="1"/>
    <col min="15873" max="15873" width="13.44140625" style="95" bestFit="1" customWidth="1"/>
    <col min="15874" max="15874" width="16" style="95" bestFit="1" customWidth="1"/>
    <col min="15875" max="15875" width="8.88671875" style="95"/>
    <col min="15876" max="15876" width="15.33203125" style="95" bestFit="1" customWidth="1"/>
    <col min="15877" max="15877" width="12" style="95" bestFit="1" customWidth="1"/>
    <col min="15878" max="16118" width="8.88671875" style="95"/>
    <col min="16119" max="16119" width="6.88671875" style="95" bestFit="1" customWidth="1"/>
    <col min="16120" max="16120" width="17" style="95" bestFit="1" customWidth="1"/>
    <col min="16121" max="16121" width="44.44140625" style="95" customWidth="1"/>
    <col min="16122" max="16122" width="7.5546875" style="95" customWidth="1"/>
    <col min="16123" max="16123" width="9" style="95" customWidth="1"/>
    <col min="16124" max="16124" width="33.44140625" style="95" customWidth="1"/>
    <col min="16125" max="16126" width="30.6640625" style="95" customWidth="1"/>
    <col min="16127" max="16127" width="8.88671875" style="95"/>
    <col min="16128" max="16128" width="13" style="95" bestFit="1" customWidth="1"/>
    <col min="16129" max="16129" width="13.44140625" style="95" bestFit="1" customWidth="1"/>
    <col min="16130" max="16130" width="16" style="95" bestFit="1" customWidth="1"/>
    <col min="16131" max="16131" width="8.88671875" style="95"/>
    <col min="16132" max="16132" width="15.33203125" style="95" bestFit="1" customWidth="1"/>
    <col min="16133" max="16133" width="12" style="95" bestFit="1" customWidth="1"/>
    <col min="16134" max="16384" width="8.88671875" style="95"/>
  </cols>
  <sheetData>
    <row r="1" spans="1:10" ht="13.8" thickBot="1">
      <c r="A1" s="312" t="s">
        <v>644</v>
      </c>
    </row>
    <row r="2" spans="1:10" ht="24.75" customHeight="1" thickBot="1">
      <c r="A2" s="192" t="s">
        <v>355</v>
      </c>
      <c r="B2" s="192"/>
      <c r="C2" s="94"/>
      <c r="D2" s="193" t="s">
        <v>356</v>
      </c>
      <c r="E2" s="194" t="s">
        <v>357</v>
      </c>
      <c r="F2" s="195" t="s">
        <v>358</v>
      </c>
      <c r="H2" s="98" t="s">
        <v>26</v>
      </c>
      <c r="I2" s="98" t="s">
        <v>25</v>
      </c>
      <c r="J2" s="98" t="s">
        <v>359</v>
      </c>
    </row>
    <row r="3" spans="1:10" ht="12.75" customHeight="1">
      <c r="A3" s="313" t="s">
        <v>645</v>
      </c>
      <c r="B3" s="197"/>
      <c r="C3" s="314">
        <v>44197</v>
      </c>
      <c r="D3" s="315">
        <f>IF($C$3="", '4.Escalation'!G$28/'4.Escalation'!D$10, '4.Escalation'!G$28/VLOOKUP($C$3,'4.Escalation'!$B$16:$D$27,3,0) )</f>
        <v>1.6888579872234699</v>
      </c>
      <c r="E3" s="316">
        <f>IF($C$3="", '4.Escalation'!F$28/'4.Escalation'!C$10, '4.Escalation'!F$28/VLOOKUP($C$3,'4.Escalation'!$B$16:$D$27,2,0) )</f>
        <v>1.5590263353115725</v>
      </c>
      <c r="F3" s="317" t="s">
        <v>646</v>
      </c>
    </row>
    <row r="4" spans="1:10" s="96" customFormat="1" ht="24.75" customHeight="1">
      <c r="A4" s="202" t="s">
        <v>360</v>
      </c>
      <c r="B4" s="203"/>
      <c r="C4" s="204"/>
      <c r="D4" s="205"/>
      <c r="E4" s="206"/>
      <c r="F4" s="207"/>
      <c r="H4" s="100"/>
      <c r="I4" s="100"/>
      <c r="J4" s="100"/>
    </row>
    <row r="5" spans="1:10" s="96" customFormat="1" ht="12.75" customHeight="1">
      <c r="A5" s="202"/>
      <c r="B5" s="203"/>
      <c r="C5" s="204"/>
      <c r="D5" s="205"/>
      <c r="E5" s="206"/>
      <c r="F5" s="207"/>
      <c r="H5" s="100"/>
      <c r="I5" s="100"/>
      <c r="J5" s="100"/>
    </row>
    <row r="6" spans="1:10" s="96" customFormat="1" ht="24.75" customHeight="1">
      <c r="A6" s="208" t="s">
        <v>361</v>
      </c>
      <c r="B6" s="209" t="s">
        <v>83</v>
      </c>
      <c r="C6" s="210">
        <v>3</v>
      </c>
      <c r="D6" s="205">
        <v>0</v>
      </c>
      <c r="E6" s="206">
        <v>5000</v>
      </c>
      <c r="F6" s="207">
        <f>IF(C6&gt;0,(D6*$D$3+E6*$E$3)*C6,"Rate Only")</f>
        <v>23385.395029673589</v>
      </c>
      <c r="H6" s="100">
        <v>1</v>
      </c>
      <c r="I6" s="100"/>
      <c r="J6" s="100"/>
    </row>
    <row r="7" spans="1:10" s="96" customFormat="1" ht="24.75" customHeight="1">
      <c r="A7" s="208" t="s">
        <v>362</v>
      </c>
      <c r="B7" s="209" t="s">
        <v>83</v>
      </c>
      <c r="C7" s="210">
        <v>19</v>
      </c>
      <c r="D7" s="205">
        <v>0</v>
      </c>
      <c r="E7" s="206">
        <v>1500</v>
      </c>
      <c r="F7" s="207">
        <f>IF(C7&gt;0,(D7*$D$3+E7*$E$3)*C7,"Rate Only")</f>
        <v>44432.250556379811</v>
      </c>
      <c r="H7" s="100"/>
      <c r="I7" s="100">
        <v>1</v>
      </c>
      <c r="J7" s="100"/>
    </row>
    <row r="8" spans="1:10" s="96" customFormat="1" ht="24.75" customHeight="1">
      <c r="A8" s="211" t="s">
        <v>363</v>
      </c>
      <c r="B8" s="209" t="s">
        <v>81</v>
      </c>
      <c r="C8" s="204">
        <v>3</v>
      </c>
      <c r="D8" s="205">
        <v>0</v>
      </c>
      <c r="E8" s="206">
        <v>10.5</v>
      </c>
      <c r="F8" s="207">
        <f>IF(C8&gt;0,(D8*$D$3+E8*$E$3)*C8,"Rate Only")</f>
        <v>49.109329562314542</v>
      </c>
      <c r="H8" s="100">
        <f>H6*1000</f>
        <v>1000</v>
      </c>
      <c r="I8" s="100">
        <f>I7*1000</f>
        <v>1000</v>
      </c>
      <c r="J8" s="100"/>
    </row>
    <row r="9" spans="1:10" ht="12.75" customHeight="1" thickBot="1">
      <c r="A9" s="212"/>
      <c r="B9" s="213"/>
      <c r="C9" s="214"/>
      <c r="D9" s="215"/>
      <c r="E9" s="216"/>
      <c r="F9" s="217"/>
    </row>
    <row r="10" spans="1:10" s="97" customFormat="1" ht="24.9" customHeight="1" thickBot="1">
      <c r="A10" s="218"/>
      <c r="B10" s="219"/>
      <c r="C10" s="220"/>
      <c r="D10" s="221"/>
      <c r="E10" s="222"/>
      <c r="F10" s="223">
        <f>SUM(F6:F8)</f>
        <v>67866.754915615718</v>
      </c>
      <c r="H10" s="101"/>
      <c r="I10" s="101"/>
      <c r="J10" s="101"/>
    </row>
    <row r="11" spans="1:10" ht="12.75" customHeight="1">
      <c r="A11" s="196"/>
      <c r="B11" s="197"/>
      <c r="C11" s="198"/>
      <c r="D11" s="199"/>
      <c r="E11" s="200"/>
      <c r="F11" s="201"/>
    </row>
    <row r="12" spans="1:10" s="96" customFormat="1" ht="24.75" customHeight="1">
      <c r="A12" s="202" t="s">
        <v>364</v>
      </c>
      <c r="B12" s="203"/>
      <c r="C12" s="204"/>
      <c r="D12" s="205"/>
      <c r="E12" s="206"/>
      <c r="F12" s="207"/>
      <c r="H12" s="100"/>
      <c r="I12" s="100"/>
      <c r="J12" s="100"/>
    </row>
    <row r="13" spans="1:10" s="96" customFormat="1" ht="12.75" customHeight="1">
      <c r="A13" s="202"/>
      <c r="B13" s="203"/>
      <c r="C13" s="204"/>
      <c r="D13" s="205"/>
      <c r="E13" s="206"/>
      <c r="F13" s="207"/>
      <c r="H13" s="100"/>
      <c r="I13" s="100"/>
      <c r="J13" s="100"/>
    </row>
    <row r="14" spans="1:10" s="96" customFormat="1" ht="24.75" customHeight="1">
      <c r="A14" s="208" t="s">
        <v>365</v>
      </c>
      <c r="B14" s="224" t="s">
        <v>366</v>
      </c>
      <c r="C14" s="204">
        <v>1</v>
      </c>
      <c r="D14" s="205"/>
      <c r="E14" s="206">
        <v>300</v>
      </c>
      <c r="F14" s="207">
        <f>IF(C14&gt;0,(D14*$D$3+E14*$E$3)*C14,"Rate Only")</f>
        <v>467.70790059347178</v>
      </c>
      <c r="H14" s="100"/>
      <c r="I14" s="100">
        <v>5</v>
      </c>
      <c r="J14" s="100"/>
    </row>
    <row r="15" spans="1:10" s="96" customFormat="1" ht="24.75" customHeight="1">
      <c r="A15" s="208" t="s">
        <v>367</v>
      </c>
      <c r="B15" s="224" t="s">
        <v>366</v>
      </c>
      <c r="C15" s="204">
        <v>1</v>
      </c>
      <c r="D15" s="205"/>
      <c r="E15" s="206">
        <v>1187</v>
      </c>
      <c r="F15" s="207">
        <f>IF(C15&gt;0,(D15*$D$3+E15*$E$3)*C15,"Rate Only")</f>
        <v>1850.5642600148367</v>
      </c>
      <c r="H15" s="100"/>
      <c r="I15" s="100">
        <v>2</v>
      </c>
      <c r="J15" s="100"/>
    </row>
    <row r="16" spans="1:10" s="96" customFormat="1" ht="24.75" customHeight="1">
      <c r="A16" s="208" t="s">
        <v>368</v>
      </c>
      <c r="B16" s="224" t="s">
        <v>366</v>
      </c>
      <c r="C16" s="204">
        <v>1</v>
      </c>
      <c r="D16" s="205"/>
      <c r="E16" s="206">
        <v>350</v>
      </c>
      <c r="F16" s="207">
        <f>IF(C16&gt;0,(D16*$D$3+E16*$E$3)*C16,"Rate Only")</f>
        <v>545.65921735905033</v>
      </c>
      <c r="H16" s="100">
        <v>3</v>
      </c>
      <c r="I16" s="100"/>
      <c r="J16" s="100"/>
    </row>
    <row r="17" spans="1:10" s="96" customFormat="1" ht="24.75" customHeight="1">
      <c r="A17" s="208" t="s">
        <v>367</v>
      </c>
      <c r="B17" s="224" t="s">
        <v>366</v>
      </c>
      <c r="C17" s="204">
        <v>1</v>
      </c>
      <c r="D17" s="205"/>
      <c r="E17" s="206">
        <v>1396.68</v>
      </c>
      <c r="F17" s="207">
        <f>IF(C17&gt;0,(D17*$D$3+E17*$E$3)*C17,"Rate Only")</f>
        <v>2177.460902002967</v>
      </c>
      <c r="H17" s="100">
        <v>1</v>
      </c>
      <c r="I17" s="100"/>
      <c r="J17" s="100"/>
    </row>
    <row r="18" spans="1:10" s="96" customFormat="1" ht="24.75" customHeight="1">
      <c r="A18" s="208" t="s">
        <v>369</v>
      </c>
      <c r="B18" s="224" t="s">
        <v>366</v>
      </c>
      <c r="C18" s="204">
        <v>1</v>
      </c>
      <c r="D18" s="205"/>
      <c r="E18" s="206">
        <v>175</v>
      </c>
      <c r="F18" s="207">
        <f>IF(C18&gt;0,(D18*$D$3+E18*$E$3)*C18,"Rate Only")</f>
        <v>272.82960867952517</v>
      </c>
      <c r="H18" s="100"/>
      <c r="I18" s="100"/>
      <c r="J18" s="100"/>
    </row>
    <row r="19" spans="1:10" s="96" customFormat="1" ht="24.75" customHeight="1">
      <c r="A19" s="208" t="s">
        <v>367</v>
      </c>
      <c r="B19" s="224" t="s">
        <v>366</v>
      </c>
      <c r="C19" s="204">
        <v>1</v>
      </c>
      <c r="D19" s="205"/>
      <c r="E19" s="206">
        <v>1192.67</v>
      </c>
      <c r="F19" s="207">
        <f>IF(C19&gt;0,(D19*$D$3+E19*$E$3)*C19,"Rate Only")</f>
        <v>1859.4039393360533</v>
      </c>
      <c r="H19" s="100"/>
      <c r="I19" s="100"/>
      <c r="J19" s="100"/>
    </row>
    <row r="20" spans="1:10" s="96" customFormat="1" ht="24.75" customHeight="1">
      <c r="A20" s="208" t="s">
        <v>370</v>
      </c>
      <c r="B20" s="224" t="s">
        <v>366</v>
      </c>
      <c r="C20" s="204">
        <v>1</v>
      </c>
      <c r="D20" s="205"/>
      <c r="E20" s="206">
        <v>185</v>
      </c>
      <c r="F20" s="207">
        <f>IF(C20&gt;0,(D20*$D$3+E20*$E$3)*C20,"Rate Only")</f>
        <v>288.41987203264091</v>
      </c>
      <c r="H20" s="100"/>
      <c r="I20" s="100">
        <v>12</v>
      </c>
      <c r="J20" s="100"/>
    </row>
    <row r="21" spans="1:10" s="96" customFormat="1" ht="24.75" customHeight="1">
      <c r="A21" s="208" t="s">
        <v>367</v>
      </c>
      <c r="B21" s="224" t="s">
        <v>366</v>
      </c>
      <c r="C21" s="204">
        <v>1</v>
      </c>
      <c r="D21" s="205"/>
      <c r="E21" s="206">
        <v>1300</v>
      </c>
      <c r="F21" s="207">
        <f>IF(C21&gt;0,(D21*$D$3+E21*$E$3)*C21,"Rate Only")</f>
        <v>2026.7342359050442</v>
      </c>
      <c r="H21" s="100"/>
      <c r="I21" s="100">
        <v>3</v>
      </c>
      <c r="J21" s="100">
        <v>1</v>
      </c>
    </row>
    <row r="22" spans="1:10" s="96" customFormat="1" ht="24.75" customHeight="1">
      <c r="A22" s="208" t="s">
        <v>371</v>
      </c>
      <c r="B22" s="224" t="s">
        <v>366</v>
      </c>
      <c r="C22" s="204">
        <v>1</v>
      </c>
      <c r="D22" s="205"/>
      <c r="E22" s="206">
        <v>1450</v>
      </c>
      <c r="F22" s="207">
        <f>IF(C22&gt;0,(D22*$D$3+E22*$E$3)*C22,"Rate Only")</f>
        <v>2260.58818620178</v>
      </c>
      <c r="H22" s="100"/>
      <c r="I22" s="100"/>
      <c r="J22" s="100"/>
    </row>
    <row r="23" spans="1:10" s="96" customFormat="1" ht="24.75" customHeight="1">
      <c r="A23" s="208" t="s">
        <v>367</v>
      </c>
      <c r="B23" s="224" t="s">
        <v>366</v>
      </c>
      <c r="C23" s="204">
        <v>1</v>
      </c>
      <c r="D23" s="205"/>
      <c r="E23" s="206">
        <v>195</v>
      </c>
      <c r="F23" s="207">
        <f>IF(C23&gt;0,(D23*$D$3+E23*$E$3)*C23,"Rate Only")</f>
        <v>304.01013538575666</v>
      </c>
      <c r="H23" s="100"/>
      <c r="I23" s="100"/>
      <c r="J23" s="100"/>
    </row>
    <row r="24" spans="1:10" s="96" customFormat="1" ht="24.75" customHeight="1">
      <c r="A24" s="208" t="s">
        <v>372</v>
      </c>
      <c r="B24" s="224" t="s">
        <v>366</v>
      </c>
      <c r="C24" s="204">
        <v>1</v>
      </c>
      <c r="D24" s="205"/>
      <c r="E24" s="206">
        <v>215</v>
      </c>
      <c r="F24" s="207">
        <f>IF(C24&gt;0,(D24*$D$3+E24*$E$3)*C24,"Rate Only")</f>
        <v>335.19066209198809</v>
      </c>
      <c r="H24" s="100">
        <v>9</v>
      </c>
      <c r="I24" s="100"/>
      <c r="J24" s="100"/>
    </row>
    <row r="25" spans="1:10" s="96" customFormat="1" ht="24.75" customHeight="1">
      <c r="A25" s="208" t="s">
        <v>367</v>
      </c>
      <c r="B25" s="224" t="s">
        <v>366</v>
      </c>
      <c r="C25" s="204">
        <v>1</v>
      </c>
      <c r="D25" s="205"/>
      <c r="E25" s="206">
        <v>1400</v>
      </c>
      <c r="F25" s="207">
        <f>IF(C25&gt;0,(D25*$D$3+E25*$E$3)*C25,"Rate Only")</f>
        <v>2182.6368694362013</v>
      </c>
      <c r="H25" s="100">
        <v>1</v>
      </c>
      <c r="I25" s="100"/>
      <c r="J25" s="100"/>
    </row>
    <row r="26" spans="1:10" s="96" customFormat="1" ht="24.75" customHeight="1">
      <c r="A26" s="208" t="s">
        <v>373</v>
      </c>
      <c r="B26" s="224" t="s">
        <v>366</v>
      </c>
      <c r="C26" s="204">
        <v>1</v>
      </c>
      <c r="D26" s="205"/>
      <c r="E26" s="206"/>
      <c r="F26" s="207">
        <f>IF(C26&gt;0,(D26*$D$3+E26*$E$3)*C26,"Rate Only")</f>
        <v>0</v>
      </c>
      <c r="H26" s="100"/>
      <c r="I26" s="100"/>
      <c r="J26" s="100">
        <v>1</v>
      </c>
    </row>
    <row r="27" spans="1:10" s="96" customFormat="1" ht="24.75" customHeight="1">
      <c r="A27" s="208" t="s">
        <v>367</v>
      </c>
      <c r="B27" s="224" t="s">
        <v>366</v>
      </c>
      <c r="C27" s="204">
        <v>1</v>
      </c>
      <c r="D27" s="205"/>
      <c r="E27" s="206"/>
      <c r="F27" s="207">
        <f>IF(C27&gt;0,(D27*$D$3+E27*$E$3)*C27,"Rate Only")</f>
        <v>0</v>
      </c>
      <c r="H27" s="100"/>
      <c r="I27" s="100"/>
      <c r="J27" s="100"/>
    </row>
    <row r="28" spans="1:10" ht="13.8" thickBot="1">
      <c r="A28" s="212"/>
      <c r="B28" s="213"/>
      <c r="C28" s="214"/>
      <c r="D28" s="215"/>
      <c r="E28" s="216"/>
      <c r="F28" s="217"/>
    </row>
    <row r="29" spans="1:10" s="97" customFormat="1" ht="24.9" customHeight="1" thickBot="1">
      <c r="A29" s="218"/>
      <c r="B29" s="219"/>
      <c r="C29" s="220"/>
      <c r="D29" s="221"/>
      <c r="E29" s="222"/>
      <c r="F29" s="223">
        <f>SUM(F14:F27)</f>
        <v>14571.205789039317</v>
      </c>
      <c r="H29" s="101"/>
      <c r="I29" s="101"/>
      <c r="J29" s="101"/>
    </row>
    <row r="30" spans="1:10" ht="12.75" customHeight="1">
      <c r="A30" s="196"/>
      <c r="B30" s="197"/>
      <c r="C30" s="198"/>
      <c r="D30" s="199"/>
      <c r="E30" s="200"/>
      <c r="F30" s="201"/>
    </row>
    <row r="31" spans="1:10" s="96" customFormat="1" ht="24.75" customHeight="1">
      <c r="A31" s="202" t="s">
        <v>374</v>
      </c>
      <c r="B31" s="203"/>
      <c r="C31" s="204"/>
      <c r="D31" s="205"/>
      <c r="E31" s="206"/>
      <c r="F31" s="207"/>
      <c r="H31" s="100"/>
      <c r="I31" s="100"/>
      <c r="J31" s="100"/>
    </row>
    <row r="32" spans="1:10" s="96" customFormat="1" ht="12.75" customHeight="1">
      <c r="A32" s="202"/>
      <c r="B32" s="203"/>
      <c r="C32" s="204"/>
      <c r="D32" s="205"/>
      <c r="E32" s="206"/>
      <c r="F32" s="207"/>
      <c r="H32" s="100"/>
      <c r="I32" s="100"/>
      <c r="J32" s="100"/>
    </row>
    <row r="33" spans="1:10" s="96" customFormat="1" ht="24.75" customHeight="1">
      <c r="A33" s="208" t="s">
        <v>375</v>
      </c>
      <c r="B33" s="224" t="s">
        <v>366</v>
      </c>
      <c r="C33" s="204">
        <v>1</v>
      </c>
      <c r="D33" s="205">
        <v>695</v>
      </c>
      <c r="E33" s="206">
        <v>45</v>
      </c>
      <c r="F33" s="207">
        <f>IF(C33&gt;0,(D33*$D$3+E33*$E$3)*C33,"Rate Only")</f>
        <v>1243.9124862093322</v>
      </c>
      <c r="H33" s="100"/>
      <c r="I33" s="100"/>
      <c r="J33" s="100"/>
    </row>
    <row r="34" spans="1:10" s="96" customFormat="1" ht="24.75" customHeight="1">
      <c r="A34" s="208" t="s">
        <v>376</v>
      </c>
      <c r="B34" s="224" t="s">
        <v>366</v>
      </c>
      <c r="C34" s="204">
        <v>1</v>
      </c>
      <c r="D34" s="205">
        <v>865</v>
      </c>
      <c r="E34" s="206">
        <v>55</v>
      </c>
      <c r="F34" s="207">
        <f>IF(C34&gt;0,(D34*$D$3+E34*$E$3)*C34,"Rate Only")</f>
        <v>1546.6086073904378</v>
      </c>
      <c r="H34" s="100"/>
      <c r="I34" s="100">
        <f>I20+I21</f>
        <v>15</v>
      </c>
      <c r="J34" s="100"/>
    </row>
    <row r="35" spans="1:10" s="96" customFormat="1" ht="24.75" customHeight="1">
      <c r="A35" s="208" t="s">
        <v>377</v>
      </c>
      <c r="B35" s="224" t="s">
        <v>366</v>
      </c>
      <c r="C35" s="204">
        <v>1</v>
      </c>
      <c r="D35" s="205">
        <v>920</v>
      </c>
      <c r="E35" s="206">
        <v>70</v>
      </c>
      <c r="F35" s="207">
        <f>IF(C35&gt;0,(D35*$D$3+E35*$E$3)*C35,"Rate Only")</f>
        <v>1662.8811917174023</v>
      </c>
      <c r="H35" s="100"/>
      <c r="I35" s="100"/>
      <c r="J35" s="100">
        <f>J21+J22</f>
        <v>1</v>
      </c>
    </row>
    <row r="36" spans="1:10" s="96" customFormat="1" ht="24.75" customHeight="1">
      <c r="A36" s="208" t="s">
        <v>378</v>
      </c>
      <c r="B36" s="224" t="s">
        <v>366</v>
      </c>
      <c r="C36" s="204">
        <v>1</v>
      </c>
      <c r="D36" s="205">
        <v>1120</v>
      </c>
      <c r="E36" s="206">
        <v>95</v>
      </c>
      <c r="F36" s="207">
        <f>IF(C36&gt;0,(D36*$D$3+E36*$E$3)*C36,"Rate Only")</f>
        <v>2039.6284475448856</v>
      </c>
      <c r="H36" s="100"/>
      <c r="I36" s="100"/>
      <c r="J36" s="100"/>
    </row>
    <row r="37" spans="1:10" s="96" customFormat="1" ht="24.75" customHeight="1">
      <c r="A37" s="208" t="s">
        <v>379</v>
      </c>
      <c r="B37" s="224" t="s">
        <v>366</v>
      </c>
      <c r="C37" s="204">
        <v>1</v>
      </c>
      <c r="D37" s="205">
        <v>1320</v>
      </c>
      <c r="E37" s="206">
        <v>100</v>
      </c>
      <c r="F37" s="207">
        <f>IF(C37&gt;0,(D37*$D$3+E37*$E$3)*C37,"Rate Only")</f>
        <v>2385.1951766661377</v>
      </c>
      <c r="H37" s="100"/>
      <c r="I37" s="100"/>
      <c r="J37" s="100"/>
    </row>
    <row r="38" spans="1:10" s="96" customFormat="1" ht="24.75" customHeight="1">
      <c r="A38" s="208" t="s">
        <v>380</v>
      </c>
      <c r="B38" s="224" t="s">
        <v>366</v>
      </c>
      <c r="C38" s="204">
        <v>1</v>
      </c>
      <c r="D38" s="205">
        <v>1400</v>
      </c>
      <c r="E38" s="206">
        <v>140</v>
      </c>
      <c r="F38" s="207">
        <f>IF(C38&gt;0,(D38*$D$3+E38*$E$3)*C38,"Rate Only")</f>
        <v>2582.664869056478</v>
      </c>
      <c r="H38" s="100">
        <f>H24+H25</f>
        <v>10</v>
      </c>
      <c r="I38" s="100"/>
      <c r="J38" s="100"/>
    </row>
    <row r="39" spans="1:10" s="96" customFormat="1" ht="24.75" customHeight="1">
      <c r="A39" s="208" t="s">
        <v>381</v>
      </c>
      <c r="B39" s="224" t="s">
        <v>366</v>
      </c>
      <c r="C39" s="204">
        <v>1</v>
      </c>
      <c r="D39" s="205">
        <v>1550</v>
      </c>
      <c r="E39" s="206">
        <v>140</v>
      </c>
      <c r="F39" s="207">
        <f>IF(C39&gt;0,(D39*$D$3+E39*$E$3)*C39,"Rate Only")</f>
        <v>2835.9935671399985</v>
      </c>
      <c r="H39" s="100"/>
      <c r="I39" s="100"/>
      <c r="J39" s="100"/>
    </row>
    <row r="40" spans="1:10" s="96" customFormat="1" ht="24.75" customHeight="1">
      <c r="A40" s="208" t="s">
        <v>382</v>
      </c>
      <c r="B40" s="224" t="s">
        <v>366</v>
      </c>
      <c r="C40" s="204">
        <v>1</v>
      </c>
      <c r="D40" s="205">
        <v>1850</v>
      </c>
      <c r="E40" s="206">
        <v>140</v>
      </c>
      <c r="F40" s="207">
        <f>IF(C40&gt;0,(D40*$D$3+E40*$E$3)*C40,"Rate Only")</f>
        <v>3342.6509633070395</v>
      </c>
      <c r="H40" s="100"/>
      <c r="I40" s="100"/>
      <c r="J40" s="100">
        <f>J26+J27</f>
        <v>1</v>
      </c>
    </row>
    <row r="41" spans="1:10" s="96" customFormat="1" ht="24.75" customHeight="1">
      <c r="A41" s="208" t="s">
        <v>383</v>
      </c>
      <c r="B41" s="224" t="s">
        <v>366</v>
      </c>
      <c r="C41" s="204">
        <v>1</v>
      </c>
      <c r="D41" s="205">
        <v>1986</v>
      </c>
      <c r="E41" s="206">
        <v>140</v>
      </c>
      <c r="F41" s="207">
        <f>IF(C41&gt;0,(D41*$D$3+E41*$E$3)*C41,"Rate Only")</f>
        <v>3572.3356495694316</v>
      </c>
      <c r="H41" s="100"/>
      <c r="I41" s="100"/>
      <c r="J41" s="100"/>
    </row>
    <row r="42" spans="1:10" ht="13.8" thickBot="1">
      <c r="A42" s="212"/>
      <c r="B42" s="213"/>
      <c r="C42" s="214"/>
      <c r="D42" s="215"/>
      <c r="E42" s="216"/>
      <c r="F42" s="217"/>
    </row>
    <row r="43" spans="1:10" s="97" customFormat="1" ht="24.9" customHeight="1" thickBot="1">
      <c r="A43" s="218"/>
      <c r="B43" s="219"/>
      <c r="C43" s="220"/>
      <c r="D43" s="221"/>
      <c r="E43" s="222"/>
      <c r="F43" s="223">
        <f>SUM(F33:F41)</f>
        <v>21211.870958601143</v>
      </c>
      <c r="H43" s="101"/>
      <c r="I43" s="101"/>
      <c r="J43" s="101"/>
    </row>
    <row r="44" spans="1:10" ht="12.75" customHeight="1">
      <c r="A44" s="196"/>
      <c r="B44" s="197"/>
      <c r="C44" s="198"/>
      <c r="D44" s="199"/>
      <c r="E44" s="200"/>
      <c r="F44" s="201"/>
    </row>
    <row r="45" spans="1:10" s="96" customFormat="1" ht="24.75" customHeight="1">
      <c r="A45" s="202" t="s">
        <v>384</v>
      </c>
      <c r="B45" s="209"/>
      <c r="C45" s="204"/>
      <c r="D45" s="205"/>
      <c r="E45" s="206"/>
      <c r="F45" s="207"/>
      <c r="H45" s="100"/>
      <c r="I45" s="100"/>
      <c r="J45" s="100"/>
    </row>
    <row r="46" spans="1:10" s="96" customFormat="1" ht="12.75" customHeight="1">
      <c r="A46" s="202"/>
      <c r="B46" s="209"/>
      <c r="C46" s="204"/>
      <c r="D46" s="205"/>
      <c r="E46" s="206"/>
      <c r="F46" s="207"/>
      <c r="H46" s="100"/>
      <c r="I46" s="100"/>
      <c r="J46" s="100"/>
    </row>
    <row r="47" spans="1:10" s="96" customFormat="1" ht="24.75" customHeight="1">
      <c r="A47" s="208" t="s">
        <v>385</v>
      </c>
      <c r="B47" s="224" t="s">
        <v>366</v>
      </c>
      <c r="C47" s="204">
        <v>1</v>
      </c>
      <c r="D47" s="205">
        <v>683</v>
      </c>
      <c r="E47" s="206">
        <v>100</v>
      </c>
      <c r="F47" s="207">
        <f>IF(C47&gt;0,(D47*$D$3+E47*$E$3)*C47,"Rate Only")</f>
        <v>1309.3926388047873</v>
      </c>
      <c r="H47" s="100">
        <f>H38*0.7</f>
        <v>7</v>
      </c>
      <c r="I47" s="100"/>
      <c r="J47" s="100"/>
    </row>
    <row r="48" spans="1:10" s="96" customFormat="1" ht="24.75" customHeight="1">
      <c r="A48" s="208" t="s">
        <v>386</v>
      </c>
      <c r="B48" s="224" t="s">
        <v>366</v>
      </c>
      <c r="C48" s="204">
        <v>1</v>
      </c>
      <c r="D48" s="205">
        <v>2250</v>
      </c>
      <c r="E48" s="206">
        <v>85</v>
      </c>
      <c r="F48" s="207">
        <f>IF(C48&gt;0,(D48*$D$3+E48*$E$3)*C48,"Rate Only")</f>
        <v>3932.4477097542908</v>
      </c>
      <c r="H48" s="100"/>
      <c r="I48" s="100"/>
      <c r="J48" s="100"/>
    </row>
    <row r="49" spans="1:10" s="96" customFormat="1" ht="24.75" customHeight="1">
      <c r="A49" s="208" t="s">
        <v>387</v>
      </c>
      <c r="B49" s="224" t="s">
        <v>366</v>
      </c>
      <c r="C49" s="204">
        <v>1</v>
      </c>
      <c r="D49" s="205">
        <v>2150</v>
      </c>
      <c r="E49" s="206">
        <v>85</v>
      </c>
      <c r="F49" s="207">
        <f>IF(C49&gt;0,(D49*$D$3+E49*$E$3)*C49,"Rate Only")</f>
        <v>3763.561911031944</v>
      </c>
      <c r="H49" s="100">
        <f>H38*0.2</f>
        <v>2</v>
      </c>
      <c r="I49" s="100"/>
      <c r="J49" s="100"/>
    </row>
    <row r="50" spans="1:10" s="96" customFormat="1" ht="24.75" customHeight="1">
      <c r="A50" s="208" t="s">
        <v>388</v>
      </c>
      <c r="B50" s="224" t="s">
        <v>366</v>
      </c>
      <c r="C50" s="204">
        <v>1</v>
      </c>
      <c r="D50" s="205">
        <v>1265</v>
      </c>
      <c r="E50" s="206">
        <v>85</v>
      </c>
      <c r="F50" s="207">
        <f>IF(C50&gt;0,(D50*$D$3+E50*$E$3)*C50,"Rate Only")</f>
        <v>2268.9225923391728</v>
      </c>
      <c r="H50" s="100">
        <f>H38*0.1</f>
        <v>1</v>
      </c>
      <c r="I50" s="100"/>
      <c r="J50" s="100"/>
    </row>
    <row r="51" spans="1:10" s="96" customFormat="1" ht="24.75" customHeight="1">
      <c r="A51" s="208" t="s">
        <v>389</v>
      </c>
      <c r="B51" s="224" t="s">
        <v>366</v>
      </c>
      <c r="C51" s="204">
        <v>1</v>
      </c>
      <c r="D51" s="205">
        <v>1125</v>
      </c>
      <c r="E51" s="206">
        <v>100</v>
      </c>
      <c r="F51" s="207">
        <f>IF(C51&gt;0,(D51*$D$3+E51*$E$3)*C51,"Rate Only")</f>
        <v>2055.867869157561</v>
      </c>
      <c r="H51" s="100"/>
      <c r="I51" s="100"/>
      <c r="J51" s="100"/>
    </row>
    <row r="52" spans="1:10" s="96" customFormat="1" ht="24.75" customHeight="1">
      <c r="A52" s="208" t="s">
        <v>390</v>
      </c>
      <c r="B52" s="224" t="s">
        <v>366</v>
      </c>
      <c r="C52" s="204">
        <v>1</v>
      </c>
      <c r="D52" s="205">
        <v>1398</v>
      </c>
      <c r="E52" s="206">
        <v>120</v>
      </c>
      <c r="F52" s="207">
        <f>IF(C52&gt;0,(D52*$D$3+E52*$E$3)*C52,"Rate Only")</f>
        <v>2548.1066263757998</v>
      </c>
      <c r="H52" s="100"/>
      <c r="I52" s="100"/>
      <c r="J52" s="100"/>
    </row>
    <row r="53" spans="1:10" ht="12.75" customHeight="1" thickBot="1">
      <c r="A53" s="225"/>
      <c r="B53" s="226"/>
      <c r="C53" s="214"/>
      <c r="D53" s="215"/>
      <c r="E53" s="216"/>
      <c r="F53" s="217"/>
    </row>
    <row r="54" spans="1:10" s="97" customFormat="1" ht="24.9" customHeight="1" thickBot="1">
      <c r="A54" s="218"/>
      <c r="B54" s="219"/>
      <c r="C54" s="220"/>
      <c r="D54" s="221"/>
      <c r="E54" s="222"/>
      <c r="F54" s="223">
        <f>SUM(F47:F52)</f>
        <v>15878.299347463555</v>
      </c>
      <c r="H54" s="101"/>
      <c r="I54" s="101"/>
      <c r="J54" s="101"/>
    </row>
    <row r="55" spans="1:10" ht="12.75" customHeight="1">
      <c r="A55" s="196"/>
      <c r="B55" s="197"/>
      <c r="C55" s="198"/>
      <c r="D55" s="199"/>
      <c r="E55" s="200"/>
      <c r="F55" s="201"/>
    </row>
    <row r="56" spans="1:10" s="96" customFormat="1" ht="24.75" customHeight="1">
      <c r="A56" s="202" t="s">
        <v>391</v>
      </c>
      <c r="B56" s="203"/>
      <c r="C56" s="227"/>
      <c r="D56" s="205"/>
      <c r="E56" s="206"/>
      <c r="F56" s="207"/>
      <c r="H56" s="100"/>
      <c r="I56" s="100"/>
      <c r="J56" s="100"/>
    </row>
    <row r="57" spans="1:10" s="96" customFormat="1" ht="12.75" customHeight="1">
      <c r="A57" s="202"/>
      <c r="B57" s="203"/>
      <c r="C57" s="227"/>
      <c r="D57" s="205"/>
      <c r="E57" s="206"/>
      <c r="F57" s="207"/>
      <c r="H57" s="100"/>
      <c r="I57" s="100"/>
      <c r="J57" s="100"/>
    </row>
    <row r="58" spans="1:10" s="96" customFormat="1" ht="24.75" customHeight="1">
      <c r="A58" s="208" t="s">
        <v>392</v>
      </c>
      <c r="B58" s="224" t="s">
        <v>366</v>
      </c>
      <c r="C58" s="228">
        <v>12</v>
      </c>
      <c r="D58" s="205">
        <v>650</v>
      </c>
      <c r="E58" s="206">
        <v>205</v>
      </c>
      <c r="F58" s="207">
        <f>IF(C58&gt;0,(D58*$D$3+E58*$E$3)*C58,"Rate Only")</f>
        <v>17008.297085209535</v>
      </c>
      <c r="H58" s="100">
        <f>(H48+H49*2+H50+H51+H52*2)*0.8</f>
        <v>4</v>
      </c>
      <c r="I58" s="100"/>
      <c r="J58" s="100"/>
    </row>
    <row r="59" spans="1:10" s="96" customFormat="1" ht="24.75" customHeight="1">
      <c r="A59" s="208" t="s">
        <v>393</v>
      </c>
      <c r="B59" s="224" t="s">
        <v>366</v>
      </c>
      <c r="C59" s="228">
        <v>9</v>
      </c>
      <c r="D59" s="205">
        <v>1350</v>
      </c>
      <c r="E59" s="206">
        <v>300</v>
      </c>
      <c r="F59" s="207">
        <f>IF(C59&gt;0,(D59*$D$3+E59*$E$3)*C59,"Rate Only")</f>
        <v>24728.995650106408</v>
      </c>
      <c r="H59" s="100">
        <f>(H48+H49*2+H50+H51+H52*2)*0.1</f>
        <v>0.5</v>
      </c>
      <c r="I59" s="100"/>
      <c r="J59" s="100"/>
    </row>
    <row r="60" spans="1:10" s="96" customFormat="1" ht="24.75" customHeight="1">
      <c r="A60" s="208" t="s">
        <v>394</v>
      </c>
      <c r="B60" s="224" t="s">
        <v>366</v>
      </c>
      <c r="C60" s="228">
        <v>10</v>
      </c>
      <c r="D60" s="205">
        <v>1200</v>
      </c>
      <c r="E60" s="206">
        <v>155</v>
      </c>
      <c r="F60" s="207">
        <f>IF(C60&gt;0,(D60*$D$3+E60*$E$3)*C60,"Rate Only")</f>
        <v>22682.786666414577</v>
      </c>
      <c r="H60" s="100">
        <f>(H48+H49*2+H50+H51+H52*2)*0.1</f>
        <v>0.5</v>
      </c>
      <c r="I60" s="100"/>
      <c r="J60" s="100"/>
    </row>
    <row r="61" spans="1:10" ht="12.75" customHeight="1" thickBot="1">
      <c r="A61" s="212"/>
      <c r="B61" s="213"/>
      <c r="C61" s="214"/>
      <c r="D61" s="215"/>
      <c r="E61" s="216"/>
      <c r="F61" s="217"/>
    </row>
    <row r="62" spans="1:10" s="97" customFormat="1" ht="24.9" customHeight="1" thickBot="1">
      <c r="A62" s="218"/>
      <c r="B62" s="219"/>
      <c r="C62" s="220"/>
      <c r="D62" s="221"/>
      <c r="E62" s="222"/>
      <c r="F62" s="223">
        <f>SUM(F58:F60)</f>
        <v>64420.079401730523</v>
      </c>
      <c r="H62" s="101"/>
      <c r="I62" s="101"/>
      <c r="J62" s="101"/>
    </row>
    <row r="63" spans="1:10" ht="12.75" customHeight="1">
      <c r="A63" s="196"/>
      <c r="B63" s="197"/>
      <c r="C63" s="198"/>
      <c r="D63" s="199"/>
      <c r="E63" s="200"/>
      <c r="F63" s="201"/>
    </row>
    <row r="64" spans="1:10" s="96" customFormat="1" ht="24.75" customHeight="1">
      <c r="A64" s="229" t="s">
        <v>395</v>
      </c>
      <c r="B64" s="203"/>
      <c r="C64" s="204"/>
      <c r="D64" s="205"/>
      <c r="E64" s="206"/>
      <c r="F64" s="207"/>
      <c r="H64" s="100"/>
      <c r="I64" s="100"/>
      <c r="J64" s="100"/>
    </row>
    <row r="65" spans="1:10" s="96" customFormat="1" ht="12.75" customHeight="1">
      <c r="A65" s="229"/>
      <c r="B65" s="203"/>
      <c r="C65" s="204"/>
      <c r="D65" s="205"/>
      <c r="E65" s="206"/>
      <c r="F65" s="207"/>
      <c r="H65" s="100"/>
      <c r="I65" s="100"/>
      <c r="J65" s="100"/>
    </row>
    <row r="66" spans="1:10" s="96" customFormat="1" ht="24.75" customHeight="1">
      <c r="A66" s="208" t="s">
        <v>396</v>
      </c>
      <c r="B66" s="224" t="s">
        <v>366</v>
      </c>
      <c r="C66" s="204">
        <v>1</v>
      </c>
      <c r="D66" s="205">
        <v>350</v>
      </c>
      <c r="E66" s="206">
        <v>35</v>
      </c>
      <c r="F66" s="207">
        <f>IF(C66&gt;0,(D66*$D$3+E66*$E$3)*C66,"Rate Only")</f>
        <v>645.6662172641195</v>
      </c>
      <c r="H66" s="100"/>
      <c r="I66" s="100">
        <f>I34*0.7</f>
        <v>10.5</v>
      </c>
      <c r="J66" s="100"/>
    </row>
    <row r="67" spans="1:10" s="96" customFormat="1" ht="24.75" customHeight="1">
      <c r="A67" s="208" t="s">
        <v>397</v>
      </c>
      <c r="B67" s="224" t="s">
        <v>366</v>
      </c>
      <c r="C67" s="204">
        <v>1</v>
      </c>
      <c r="D67" s="205">
        <v>850</v>
      </c>
      <c r="E67" s="206">
        <v>55</v>
      </c>
      <c r="F67" s="207">
        <f>IF(C67&gt;0,(D67*$D$3+E67*$E$3)*C67,"Rate Only")</f>
        <v>1521.2757375820859</v>
      </c>
      <c r="H67" s="100"/>
      <c r="I67" s="100"/>
      <c r="J67" s="100"/>
    </row>
    <row r="68" spans="1:10" s="96" customFormat="1" ht="24.75" customHeight="1">
      <c r="A68" s="208" t="s">
        <v>398</v>
      </c>
      <c r="B68" s="224" t="s">
        <v>366</v>
      </c>
      <c r="C68" s="204">
        <v>1</v>
      </c>
      <c r="D68" s="205">
        <v>850</v>
      </c>
      <c r="E68" s="206">
        <v>55</v>
      </c>
      <c r="F68" s="207">
        <f>IF(C68&gt;0,(D68*$D$3+E68*$E$3)*C68,"Rate Only")</f>
        <v>1521.2757375820859</v>
      </c>
      <c r="H68" s="100"/>
      <c r="I68" s="100">
        <f>I34*0.2</f>
        <v>3</v>
      </c>
      <c r="J68" s="100"/>
    </row>
    <row r="69" spans="1:10" s="96" customFormat="1" ht="24.75" customHeight="1">
      <c r="A69" s="208" t="s">
        <v>399</v>
      </c>
      <c r="B69" s="224" t="s">
        <v>366</v>
      </c>
      <c r="C69" s="204">
        <v>1</v>
      </c>
      <c r="D69" s="205">
        <v>550</v>
      </c>
      <c r="E69" s="206">
        <v>30</v>
      </c>
      <c r="F69" s="207">
        <f>IF(C69&gt;0,(D69*$D$3+E69*$E$3)*C69,"Rate Only")</f>
        <v>975.6426830322556</v>
      </c>
      <c r="H69" s="100"/>
      <c r="I69" s="100">
        <f>I34*0.1</f>
        <v>1.5</v>
      </c>
      <c r="J69" s="100"/>
    </row>
    <row r="70" spans="1:10" s="96" customFormat="1" ht="24.75" customHeight="1">
      <c r="A70" s="208" t="s">
        <v>400</v>
      </c>
      <c r="B70" s="224" t="s">
        <v>366</v>
      </c>
      <c r="C70" s="204">
        <v>1</v>
      </c>
      <c r="D70" s="205">
        <v>650</v>
      </c>
      <c r="E70" s="206">
        <v>35</v>
      </c>
      <c r="F70" s="207">
        <f>IF(C70&gt;0,(D70*$D$3+E70*$E$3)*C70,"Rate Only")</f>
        <v>1152.3236134311605</v>
      </c>
      <c r="H70" s="100"/>
      <c r="I70" s="100"/>
      <c r="J70" s="100"/>
    </row>
    <row r="71" spans="1:10" s="96" customFormat="1" ht="24.75" customHeight="1">
      <c r="A71" s="208" t="s">
        <v>401</v>
      </c>
      <c r="B71" s="224" t="s">
        <v>366</v>
      </c>
      <c r="C71" s="204">
        <v>1</v>
      </c>
      <c r="D71" s="205">
        <v>900</v>
      </c>
      <c r="E71" s="206">
        <v>35</v>
      </c>
      <c r="F71" s="207">
        <f>IF(C71&gt;0,(D71*$D$3+E71*$E$3)*C71,"Rate Only")</f>
        <v>1574.5381102370279</v>
      </c>
      <c r="H71" s="100"/>
      <c r="I71" s="100"/>
      <c r="J71" s="100"/>
    </row>
    <row r="72" spans="1:10" s="96" customFormat="1" ht="24.75" customHeight="1">
      <c r="A72" s="208" t="s">
        <v>402</v>
      </c>
      <c r="B72" s="224" t="s">
        <v>366</v>
      </c>
      <c r="C72" s="204">
        <v>1</v>
      </c>
      <c r="D72" s="205">
        <v>400</v>
      </c>
      <c r="E72" s="206">
        <v>30</v>
      </c>
      <c r="F72" s="207">
        <f>IF(C72&gt;0,(D72*$D$3+E72*$E$3)*C72,"Rate Only")</f>
        <v>722.3139849487352</v>
      </c>
      <c r="H72" s="100"/>
      <c r="I72" s="100"/>
      <c r="J72" s="100"/>
    </row>
    <row r="73" spans="1:10" s="96" customFormat="1" ht="24.75" customHeight="1">
      <c r="A73" s="208" t="s">
        <v>403</v>
      </c>
      <c r="B73" s="224" t="s">
        <v>366</v>
      </c>
      <c r="C73" s="204">
        <v>1</v>
      </c>
      <c r="D73" s="205">
        <v>550</v>
      </c>
      <c r="E73" s="206">
        <v>30</v>
      </c>
      <c r="F73" s="207">
        <f>IF(C73&gt;0,(D73*$D$3+E73*$E$3)*C73,"Rate Only")</f>
        <v>975.6426830322556</v>
      </c>
      <c r="H73" s="100"/>
      <c r="I73" s="100"/>
      <c r="J73" s="100"/>
    </row>
    <row r="74" spans="1:10" ht="12.75" customHeight="1" thickBot="1">
      <c r="A74" s="212"/>
      <c r="B74" s="213"/>
      <c r="C74" s="214"/>
      <c r="D74" s="215"/>
      <c r="E74" s="216"/>
      <c r="F74" s="217"/>
    </row>
    <row r="75" spans="1:10" s="97" customFormat="1" ht="24.9" customHeight="1" thickBot="1">
      <c r="A75" s="218"/>
      <c r="B75" s="219"/>
      <c r="C75" s="220"/>
      <c r="D75" s="221"/>
      <c r="E75" s="222"/>
      <c r="F75" s="223">
        <f>SUM(F66:F73)</f>
        <v>9088.6787671097263</v>
      </c>
      <c r="H75" s="101"/>
      <c r="I75" s="101"/>
      <c r="J75" s="101"/>
    </row>
    <row r="76" spans="1:10" ht="12.75" customHeight="1">
      <c r="A76" s="196"/>
      <c r="B76" s="197"/>
      <c r="C76" s="198"/>
      <c r="D76" s="199"/>
      <c r="E76" s="200"/>
      <c r="F76" s="201"/>
    </row>
    <row r="77" spans="1:10" s="96" customFormat="1" ht="24.75" customHeight="1">
      <c r="A77" s="202" t="s">
        <v>404</v>
      </c>
      <c r="B77" s="203" t="s">
        <v>405</v>
      </c>
      <c r="C77" s="204"/>
      <c r="D77" s="205"/>
      <c r="E77" s="206"/>
      <c r="F77" s="207"/>
      <c r="H77" s="100"/>
      <c r="I77" s="100"/>
      <c r="J77" s="100"/>
    </row>
    <row r="78" spans="1:10" s="96" customFormat="1" ht="12.75" customHeight="1">
      <c r="A78" s="202"/>
      <c r="B78" s="203"/>
      <c r="C78" s="204"/>
      <c r="D78" s="205"/>
      <c r="E78" s="206"/>
      <c r="F78" s="207"/>
      <c r="H78" s="100"/>
      <c r="I78" s="100"/>
      <c r="J78" s="100"/>
    </row>
    <row r="79" spans="1:10" s="96" customFormat="1" ht="24.75" customHeight="1">
      <c r="A79" s="208" t="s">
        <v>392</v>
      </c>
      <c r="B79" s="224" t="s">
        <v>366</v>
      </c>
      <c r="C79" s="204">
        <v>1</v>
      </c>
      <c r="D79" s="205">
        <v>450</v>
      </c>
      <c r="E79" s="206">
        <v>205</v>
      </c>
      <c r="F79" s="207">
        <f>IF(C79&gt;0,(D79*$D$3+E79*$E$3)*C79,"Rate Only")</f>
        <v>1079.5864929894337</v>
      </c>
      <c r="H79" s="100"/>
      <c r="I79" s="100">
        <f>(I67+I68*2+I69+I70+I71)*0.8</f>
        <v>6</v>
      </c>
      <c r="J79" s="100"/>
    </row>
    <row r="80" spans="1:10" s="96" customFormat="1" ht="24.75" customHeight="1">
      <c r="A80" s="208" t="s">
        <v>393</v>
      </c>
      <c r="B80" s="224" t="s">
        <v>366</v>
      </c>
      <c r="C80" s="204">
        <v>1</v>
      </c>
      <c r="D80" s="205">
        <v>1150</v>
      </c>
      <c r="E80" s="206">
        <v>300</v>
      </c>
      <c r="F80" s="207">
        <f>IF(C80&gt;0,(D80*$D$3+E80*$E$3)*C80,"Rate Only")</f>
        <v>2409.8945859004625</v>
      </c>
      <c r="H80" s="100"/>
      <c r="I80" s="100">
        <f>(I67+I68*2+I69+I70+I71)*0.1</f>
        <v>0.75</v>
      </c>
      <c r="J80" s="100"/>
    </row>
    <row r="81" spans="1:10" s="96" customFormat="1" ht="24.75" customHeight="1">
      <c r="A81" s="208" t="s">
        <v>406</v>
      </c>
      <c r="B81" s="224" t="s">
        <v>366</v>
      </c>
      <c r="C81" s="204">
        <v>1</v>
      </c>
      <c r="D81" s="205">
        <v>500</v>
      </c>
      <c r="E81" s="206">
        <v>155</v>
      </c>
      <c r="F81" s="207">
        <f>IF(C81&gt;0,(D81*$D$3+E81*$E$3)*C81,"Rate Only")</f>
        <v>1086.0780755850287</v>
      </c>
      <c r="H81" s="100"/>
      <c r="I81" s="100">
        <f>(I67+I68*2+I69+I70+I71)*0.1</f>
        <v>0.75</v>
      </c>
      <c r="J81" s="100"/>
    </row>
    <row r="82" spans="1:10" ht="12.75" customHeight="1" thickBot="1">
      <c r="A82" s="212"/>
      <c r="B82" s="213"/>
      <c r="C82" s="214"/>
      <c r="D82" s="215"/>
      <c r="E82" s="216"/>
      <c r="F82" s="217"/>
    </row>
    <row r="83" spans="1:10" s="97" customFormat="1" ht="24.9" customHeight="1" thickBot="1">
      <c r="A83" s="218"/>
      <c r="B83" s="219"/>
      <c r="C83" s="220"/>
      <c r="D83" s="221"/>
      <c r="E83" s="222"/>
      <c r="F83" s="223">
        <f>SUM(F79:F81)</f>
        <v>4575.559154474925</v>
      </c>
      <c r="H83" s="101"/>
      <c r="I83" s="101"/>
      <c r="J83" s="101"/>
    </row>
    <row r="84" spans="1:10" ht="12.75" customHeight="1">
      <c r="A84" s="196"/>
      <c r="B84" s="197"/>
      <c r="C84" s="198"/>
      <c r="D84" s="199"/>
      <c r="E84" s="200"/>
      <c r="F84" s="201"/>
    </row>
    <row r="85" spans="1:10" ht="24.75" customHeight="1">
      <c r="A85" s="230" t="s">
        <v>407</v>
      </c>
      <c r="B85" s="231" t="s">
        <v>405</v>
      </c>
      <c r="C85" s="232"/>
      <c r="D85" s="233"/>
      <c r="E85" s="234"/>
      <c r="F85" s="235"/>
    </row>
    <row r="86" spans="1:10" ht="12.75" customHeight="1">
      <c r="A86" s="230"/>
      <c r="B86" s="231"/>
      <c r="C86" s="232"/>
      <c r="D86" s="233"/>
      <c r="E86" s="234"/>
      <c r="F86" s="235"/>
    </row>
    <row r="87" spans="1:10" s="96" customFormat="1" ht="24.75" customHeight="1">
      <c r="A87" s="208" t="s">
        <v>408</v>
      </c>
      <c r="B87" s="224" t="s">
        <v>366</v>
      </c>
      <c r="C87" s="204">
        <v>1</v>
      </c>
      <c r="D87" s="205">
        <v>859</v>
      </c>
      <c r="E87" s="206">
        <v>10</v>
      </c>
      <c r="F87" s="207">
        <f>IF(C87&gt;0,(D87*$D$3+E87*$E$3)*C87,"Rate Only")</f>
        <v>1466.3192743780764</v>
      </c>
      <c r="H87" s="100"/>
      <c r="I87" s="100"/>
      <c r="J87" s="100"/>
    </row>
    <row r="88" spans="1:10" s="96" customFormat="1" ht="24.75" customHeight="1">
      <c r="A88" s="208" t="s">
        <v>409</v>
      </c>
      <c r="B88" s="224" t="s">
        <v>366</v>
      </c>
      <c r="C88" s="204">
        <v>1</v>
      </c>
      <c r="D88" s="205">
        <v>1355</v>
      </c>
      <c r="E88" s="206">
        <v>15</v>
      </c>
      <c r="F88" s="207">
        <f>IF(C88&gt;0,(D88*$D$3+E88*$E$3)*C88,"Rate Only")</f>
        <v>2311.7879677174751</v>
      </c>
      <c r="H88" s="100"/>
      <c r="I88" s="100">
        <f>I34</f>
        <v>15</v>
      </c>
      <c r="J88" s="100"/>
    </row>
    <row r="89" spans="1:10" ht="12.75" customHeight="1" thickBot="1">
      <c r="A89" s="212"/>
      <c r="B89" s="213"/>
      <c r="C89" s="214"/>
      <c r="D89" s="215"/>
      <c r="E89" s="216"/>
      <c r="F89" s="217"/>
    </row>
    <row r="90" spans="1:10" s="97" customFormat="1" ht="24.9" customHeight="1" thickBot="1">
      <c r="A90" s="218"/>
      <c r="B90" s="219"/>
      <c r="C90" s="220"/>
      <c r="D90" s="221"/>
      <c r="E90" s="222"/>
      <c r="F90" s="223">
        <f>SUM(F87:F88)</f>
        <v>3778.1072420955516</v>
      </c>
      <c r="H90" s="101"/>
      <c r="I90" s="101"/>
      <c r="J90" s="101"/>
    </row>
    <row r="91" spans="1:10" ht="12.75" customHeight="1">
      <c r="A91" s="196"/>
      <c r="B91" s="197"/>
      <c r="C91" s="198"/>
      <c r="D91" s="199"/>
      <c r="E91" s="200"/>
      <c r="F91" s="201"/>
    </row>
    <row r="92" spans="1:10" s="96" customFormat="1" ht="24.75" customHeight="1">
      <c r="A92" s="202" t="s">
        <v>262</v>
      </c>
      <c r="B92" s="203" t="s">
        <v>405</v>
      </c>
      <c r="C92" s="204"/>
      <c r="D92" s="205"/>
      <c r="E92" s="206"/>
      <c r="F92" s="207"/>
      <c r="H92" s="100"/>
      <c r="I92" s="100"/>
      <c r="J92" s="100"/>
    </row>
    <row r="93" spans="1:10" s="96" customFormat="1" ht="12.75" customHeight="1">
      <c r="A93" s="202"/>
      <c r="B93" s="203"/>
      <c r="C93" s="204"/>
      <c r="D93" s="205"/>
      <c r="E93" s="206"/>
      <c r="F93" s="207"/>
      <c r="H93" s="100"/>
      <c r="I93" s="100"/>
      <c r="J93" s="100"/>
    </row>
    <row r="94" spans="1:10" s="96" customFormat="1" ht="24.75" customHeight="1">
      <c r="A94" s="208" t="s">
        <v>410</v>
      </c>
      <c r="B94" s="224" t="s">
        <v>81</v>
      </c>
      <c r="C94" s="204">
        <v>1</v>
      </c>
      <c r="D94" s="205">
        <v>13</v>
      </c>
      <c r="E94" s="206">
        <v>20</v>
      </c>
      <c r="F94" s="207">
        <f>IF(C94&gt;0,(D94*$D$3+E94*$E$3)*C94,"Rate Only")</f>
        <v>53.135680540136562</v>
      </c>
      <c r="H94" s="100"/>
      <c r="I94" s="100"/>
      <c r="J94" s="100"/>
    </row>
    <row r="95" spans="1:10" s="96" customFormat="1" ht="24.75" customHeight="1">
      <c r="A95" s="208" t="s">
        <v>411</v>
      </c>
      <c r="B95" s="224" t="s">
        <v>81</v>
      </c>
      <c r="C95" s="204">
        <v>1</v>
      </c>
      <c r="D95" s="205">
        <v>20</v>
      </c>
      <c r="E95" s="206">
        <v>20</v>
      </c>
      <c r="F95" s="207">
        <f>IF(C95&gt;0,(D95*$D$3+E95*$E$3)*C95,"Rate Only")</f>
        <v>64.957686450700848</v>
      </c>
      <c r="H95" s="100"/>
      <c r="I95" s="100"/>
      <c r="J95" s="100"/>
    </row>
    <row r="96" spans="1:10" s="96" customFormat="1" ht="24.75" customHeight="1">
      <c r="A96" s="208" t="s">
        <v>412</v>
      </c>
      <c r="B96" s="224" t="s">
        <v>81</v>
      </c>
      <c r="C96" s="204">
        <v>1</v>
      </c>
      <c r="D96" s="205">
        <v>31</v>
      </c>
      <c r="E96" s="206">
        <v>45</v>
      </c>
      <c r="F96" s="207">
        <f>IF(C96&gt;0,(D96*$D$3+E96*$E$3)*C96,"Rate Only")</f>
        <v>122.51078269294834</v>
      </c>
      <c r="H96" s="100">
        <f>H38*100*3.05</f>
        <v>3050</v>
      </c>
      <c r="I96" s="100"/>
      <c r="J96" s="100"/>
    </row>
    <row r="97" spans="1:10" s="96" customFormat="1" ht="24.75" customHeight="1">
      <c r="A97" s="208" t="s">
        <v>413</v>
      </c>
      <c r="B97" s="224" t="s">
        <v>81</v>
      </c>
      <c r="C97" s="204">
        <v>1</v>
      </c>
      <c r="D97" s="205">
        <v>10</v>
      </c>
      <c r="E97" s="206">
        <v>45</v>
      </c>
      <c r="F97" s="207">
        <f>IF(C97&gt;0,(D97*$D$3+E97*$E$3)*C97,"Rate Only")</f>
        <v>87.044764961255467</v>
      </c>
      <c r="H97" s="100"/>
      <c r="I97" s="100"/>
      <c r="J97" s="100"/>
    </row>
    <row r="98" spans="1:10" s="96" customFormat="1" ht="24.75" customHeight="1">
      <c r="A98" s="208" t="s">
        <v>414</v>
      </c>
      <c r="B98" s="224" t="s">
        <v>81</v>
      </c>
      <c r="C98" s="204">
        <v>1</v>
      </c>
      <c r="D98" s="205">
        <v>60</v>
      </c>
      <c r="E98" s="206">
        <v>45</v>
      </c>
      <c r="F98" s="207">
        <f>IF(C98&gt;0,(D98*$D$3+E98*$E$3)*C98,"Rate Only")</f>
        <v>171.48766432242894</v>
      </c>
      <c r="H98" s="100"/>
      <c r="I98" s="100"/>
      <c r="J98" s="100"/>
    </row>
    <row r="99" spans="1:10" s="96" customFormat="1" ht="24.75" customHeight="1">
      <c r="A99" s="208" t="s">
        <v>415</v>
      </c>
      <c r="B99" s="224" t="s">
        <v>81</v>
      </c>
      <c r="C99" s="204">
        <v>1</v>
      </c>
      <c r="D99" s="205">
        <v>30</v>
      </c>
      <c r="E99" s="206">
        <v>20</v>
      </c>
      <c r="F99" s="207">
        <f>IF(C99&gt;0,(D99*$D$3+E99*$E$3)*C99,"Rate Only")</f>
        <v>81.846266322935548</v>
      </c>
      <c r="H99" s="100"/>
      <c r="I99" s="100"/>
      <c r="J99" s="100"/>
    </row>
    <row r="100" spans="1:10" s="96" customFormat="1" ht="24.75" customHeight="1">
      <c r="A100" s="208" t="s">
        <v>416</v>
      </c>
      <c r="B100" s="224" t="s">
        <v>81</v>
      </c>
      <c r="C100" s="204">
        <v>1</v>
      </c>
      <c r="D100" s="205">
        <v>35</v>
      </c>
      <c r="E100" s="206">
        <v>20</v>
      </c>
      <c r="F100" s="207">
        <f>IF(C100&gt;0,(D100*$D$3+E100*$E$3)*C100,"Rate Only")</f>
        <v>90.290556259052892</v>
      </c>
      <c r="H100" s="100"/>
      <c r="I100" s="100"/>
      <c r="J100" s="100"/>
    </row>
    <row r="101" spans="1:10" s="96" customFormat="1" ht="24.75" customHeight="1">
      <c r="A101" s="208" t="s">
        <v>417</v>
      </c>
      <c r="B101" s="224" t="s">
        <v>81</v>
      </c>
      <c r="C101" s="204">
        <v>1</v>
      </c>
      <c r="D101" s="205">
        <v>50</v>
      </c>
      <c r="E101" s="206">
        <v>15</v>
      </c>
      <c r="F101" s="207">
        <f>IF(C101&gt;0,(D101*$D$3+E101*$E$3)*C101,"Rate Only")</f>
        <v>107.82829439084709</v>
      </c>
      <c r="H101" s="100"/>
      <c r="I101" s="100">
        <f>I34*0.3*60*1.05</f>
        <v>283.5</v>
      </c>
      <c r="J101" s="100"/>
    </row>
    <row r="102" spans="1:10" s="96" customFormat="1" ht="24.75" customHeight="1">
      <c r="A102" s="208" t="s">
        <v>418</v>
      </c>
      <c r="B102" s="224" t="s">
        <v>81</v>
      </c>
      <c r="C102" s="204">
        <v>1</v>
      </c>
      <c r="D102" s="205">
        <v>81</v>
      </c>
      <c r="E102" s="206">
        <v>20</v>
      </c>
      <c r="F102" s="207">
        <f>IF(C102&gt;0,(D102*$D$3+E102*$E$3)*C102,"Rate Only")</f>
        <v>167.97802367133252</v>
      </c>
      <c r="H102" s="100"/>
      <c r="I102" s="100">
        <f>I34*0.7*40*1.05</f>
        <v>441</v>
      </c>
      <c r="J102" s="100"/>
    </row>
    <row r="103" spans="1:10" s="96" customFormat="1" ht="24.75" customHeight="1">
      <c r="A103" s="208" t="s">
        <v>419</v>
      </c>
      <c r="B103" s="224" t="s">
        <v>81</v>
      </c>
      <c r="C103" s="204">
        <v>1</v>
      </c>
      <c r="D103" s="205">
        <v>95</v>
      </c>
      <c r="E103" s="206">
        <v>20</v>
      </c>
      <c r="F103" s="207">
        <f>IF(C103&gt;0,(D103*$D$3+E103*$E$3)*C103,"Rate Only")</f>
        <v>191.62203549246109</v>
      </c>
      <c r="H103" s="100"/>
      <c r="I103" s="100">
        <f>I35*0.7*40*1.05</f>
        <v>0</v>
      </c>
      <c r="J103" s="100"/>
    </row>
    <row r="104" spans="1:10" s="96" customFormat="1" ht="24.75" customHeight="1">
      <c r="A104" s="208" t="s">
        <v>420</v>
      </c>
      <c r="B104" s="224" t="s">
        <v>366</v>
      </c>
      <c r="C104" s="204">
        <v>1</v>
      </c>
      <c r="D104" s="205">
        <v>850</v>
      </c>
      <c r="E104" s="206">
        <v>30</v>
      </c>
      <c r="F104" s="207">
        <f>IF(C104&gt;0,(D104*$D$3+E104*$E$3)*C104,"Rate Only")</f>
        <v>1482.3000791992968</v>
      </c>
      <c r="H104" s="100"/>
      <c r="I104" s="100"/>
      <c r="J104" s="100"/>
    </row>
    <row r="105" spans="1:10" s="96" customFormat="1" ht="24.75" customHeight="1">
      <c r="A105" s="208" t="s">
        <v>421</v>
      </c>
      <c r="B105" s="224" t="s">
        <v>366</v>
      </c>
      <c r="C105" s="204">
        <v>1</v>
      </c>
      <c r="D105" s="205">
        <v>450</v>
      </c>
      <c r="E105" s="206">
        <v>25</v>
      </c>
      <c r="F105" s="207">
        <f>IF(C105&gt;0,(D105*$D$3+E105*$E$3)*C105,"Rate Only")</f>
        <v>798.96175263335078</v>
      </c>
      <c r="H105" s="100"/>
      <c r="I105" s="100"/>
      <c r="J105" s="100"/>
    </row>
    <row r="106" spans="1:10" s="96" customFormat="1" ht="24.75" customHeight="1">
      <c r="A106" s="208" t="s">
        <v>422</v>
      </c>
      <c r="B106" s="224" t="s">
        <v>366</v>
      </c>
      <c r="C106" s="204">
        <v>1</v>
      </c>
      <c r="D106" s="205">
        <v>485</v>
      </c>
      <c r="E106" s="206">
        <v>25</v>
      </c>
      <c r="F106" s="207">
        <f>IF(C106&gt;0,(D106*$D$3+E106*$E$3)*C106,"Rate Only")</f>
        <v>858.07178218617219</v>
      </c>
      <c r="H106" s="100"/>
      <c r="I106" s="100"/>
      <c r="J106" s="100"/>
    </row>
    <row r="107" spans="1:10" ht="12.75" customHeight="1" thickBot="1">
      <c r="A107" s="212"/>
      <c r="B107" s="213"/>
      <c r="C107" s="214"/>
      <c r="D107" s="215"/>
      <c r="E107" s="216"/>
      <c r="F107" s="217"/>
    </row>
    <row r="108" spans="1:10" s="97" customFormat="1" ht="24.9" customHeight="1" thickBot="1">
      <c r="A108" s="218"/>
      <c r="B108" s="219"/>
      <c r="C108" s="220"/>
      <c r="D108" s="221"/>
      <c r="E108" s="222"/>
      <c r="F108" s="223">
        <f>SUM(F94:F106)</f>
        <v>4278.0353691229193</v>
      </c>
      <c r="H108" s="101"/>
      <c r="I108" s="101"/>
      <c r="J108" s="101"/>
    </row>
    <row r="109" spans="1:10" ht="12.75" customHeight="1">
      <c r="A109" s="196"/>
      <c r="B109" s="197"/>
      <c r="C109" s="198"/>
      <c r="D109" s="199"/>
      <c r="E109" s="200"/>
      <c r="F109" s="201"/>
    </row>
    <row r="110" spans="1:10" s="96" customFormat="1" ht="24.75" customHeight="1">
      <c r="A110" s="229" t="s">
        <v>423</v>
      </c>
      <c r="B110" s="203"/>
      <c r="C110" s="204"/>
      <c r="D110" s="205"/>
      <c r="E110" s="206"/>
      <c r="F110" s="207"/>
      <c r="H110" s="100"/>
      <c r="I110" s="100"/>
      <c r="J110" s="100"/>
    </row>
    <row r="111" spans="1:10" s="96" customFormat="1" ht="12.75" customHeight="1">
      <c r="A111" s="229"/>
      <c r="B111" s="209"/>
      <c r="C111" s="204"/>
      <c r="D111" s="205"/>
      <c r="E111" s="206"/>
      <c r="F111" s="207"/>
      <c r="H111" s="100"/>
      <c r="I111" s="100"/>
      <c r="J111" s="100"/>
    </row>
    <row r="112" spans="1:10" s="96" customFormat="1" ht="24.75" customHeight="1">
      <c r="A112" s="211" t="s">
        <v>424</v>
      </c>
      <c r="B112" s="224" t="s">
        <v>366</v>
      </c>
      <c r="C112" s="204">
        <v>1</v>
      </c>
      <c r="D112" s="205">
        <v>69856</v>
      </c>
      <c r="E112" s="206">
        <v>6500</v>
      </c>
      <c r="F112" s="207">
        <f>C112*(D112*$D$3+E112*$E$3)</f>
        <v>128110.53473500794</v>
      </c>
      <c r="H112" s="100"/>
      <c r="I112" s="100"/>
      <c r="J112" s="100">
        <v>1</v>
      </c>
    </row>
    <row r="113" spans="1:10" s="96" customFormat="1" ht="24.75" customHeight="1">
      <c r="A113" s="211" t="s">
        <v>425</v>
      </c>
      <c r="B113" s="224" t="s">
        <v>366</v>
      </c>
      <c r="C113" s="204">
        <v>1</v>
      </c>
      <c r="D113" s="205">
        <v>48500</v>
      </c>
      <c r="E113" s="206">
        <v>3500</v>
      </c>
      <c r="F113" s="207">
        <f>C113*(D113*$D$3+E113*$E$3)</f>
        <v>87366.204553928794</v>
      </c>
      <c r="H113" s="100"/>
      <c r="I113" s="100"/>
      <c r="J113" s="100"/>
    </row>
    <row r="114" spans="1:10" s="96" customFormat="1" ht="24.75" customHeight="1">
      <c r="A114" s="211" t="s">
        <v>426</v>
      </c>
      <c r="B114" s="224" t="s">
        <v>366</v>
      </c>
      <c r="C114" s="204">
        <v>1</v>
      </c>
      <c r="D114" s="205">
        <v>36450</v>
      </c>
      <c r="E114" s="206">
        <v>2500</v>
      </c>
      <c r="F114" s="207">
        <f>C114*(D114*$D$3+E114*$E$3)</f>
        <v>65456.439472574413</v>
      </c>
      <c r="H114" s="100"/>
      <c r="I114" s="100"/>
      <c r="J114" s="100"/>
    </row>
    <row r="115" spans="1:10" s="96" customFormat="1" ht="24.75" customHeight="1">
      <c r="A115" s="211" t="s">
        <v>427</v>
      </c>
      <c r="B115" s="224" t="s">
        <v>366</v>
      </c>
      <c r="C115" s="204">
        <v>1</v>
      </c>
      <c r="D115" s="205">
        <v>30025</v>
      </c>
      <c r="E115" s="206">
        <v>2000</v>
      </c>
      <c r="F115" s="207">
        <f>C115*(D115*$D$3+E115*$E$3)</f>
        <v>53826.01373700783</v>
      </c>
      <c r="H115" s="100"/>
      <c r="I115" s="100"/>
      <c r="J115" s="100"/>
    </row>
    <row r="116" spans="1:10" s="96" customFormat="1" ht="24.75" customHeight="1">
      <c r="A116" s="211" t="s">
        <v>428</v>
      </c>
      <c r="B116" s="224" t="s">
        <v>366</v>
      </c>
      <c r="C116" s="204">
        <v>1</v>
      </c>
      <c r="D116" s="205">
        <v>25014</v>
      </c>
      <c r="E116" s="206">
        <v>1850</v>
      </c>
      <c r="F116" s="207">
        <f>C116*(D116*$D$3+E116*$E$3)</f>
        <v>45129.292412734285</v>
      </c>
      <c r="H116" s="100"/>
      <c r="I116" s="100"/>
      <c r="J116" s="100"/>
    </row>
    <row r="117" spans="1:10" ht="12.75" customHeight="1" thickBot="1">
      <c r="A117" s="212"/>
      <c r="B117" s="213"/>
      <c r="C117" s="214"/>
      <c r="D117" s="215"/>
      <c r="E117" s="216"/>
      <c r="F117" s="217"/>
    </row>
    <row r="118" spans="1:10" s="97" customFormat="1" ht="24.9" customHeight="1" thickBot="1">
      <c r="A118" s="218"/>
      <c r="B118" s="219"/>
      <c r="C118" s="220"/>
      <c r="D118" s="221"/>
      <c r="E118" s="222"/>
      <c r="F118" s="223">
        <f>SUM(F112:F116)</f>
        <v>379888.48491125327</v>
      </c>
      <c r="H118" s="101"/>
      <c r="I118" s="101"/>
      <c r="J118" s="101"/>
    </row>
    <row r="119" spans="1:10" ht="12.75" customHeight="1">
      <c r="A119" s="196"/>
      <c r="B119" s="197"/>
      <c r="C119" s="198"/>
      <c r="D119" s="199"/>
      <c r="E119" s="200"/>
      <c r="F119" s="201"/>
    </row>
    <row r="120" spans="1:10" s="96" customFormat="1" ht="24.75" customHeight="1">
      <c r="A120" s="229" t="s">
        <v>429</v>
      </c>
      <c r="B120" s="209"/>
      <c r="C120" s="204"/>
      <c r="D120" s="205"/>
      <c r="E120" s="206"/>
      <c r="F120" s="207"/>
      <c r="H120" s="100"/>
      <c r="I120" s="100"/>
      <c r="J120" s="100"/>
    </row>
    <row r="121" spans="1:10" s="96" customFormat="1" ht="12.75" customHeight="1">
      <c r="A121" s="229"/>
      <c r="B121" s="209"/>
      <c r="C121" s="204"/>
      <c r="D121" s="205"/>
      <c r="E121" s="206"/>
      <c r="F121" s="207"/>
      <c r="H121" s="100"/>
      <c r="I121" s="100"/>
      <c r="J121" s="100"/>
    </row>
    <row r="122" spans="1:10" s="96" customFormat="1" ht="24.75" customHeight="1">
      <c r="A122" s="208" t="s">
        <v>430</v>
      </c>
      <c r="B122" s="224" t="s">
        <v>366</v>
      </c>
      <c r="C122" s="204">
        <v>1</v>
      </c>
      <c r="D122" s="205">
        <v>450</v>
      </c>
      <c r="E122" s="206">
        <v>95</v>
      </c>
      <c r="F122" s="207">
        <f>C122*(D122*$D$3+E122*$E$3)</f>
        <v>908.09359610516083</v>
      </c>
      <c r="H122" s="100"/>
      <c r="I122" s="100"/>
      <c r="J122" s="100"/>
    </row>
    <row r="123" spans="1:10" s="96" customFormat="1" ht="24.75" customHeight="1">
      <c r="A123" s="208" t="s">
        <v>431</v>
      </c>
      <c r="B123" s="209" t="s">
        <v>366</v>
      </c>
      <c r="C123" s="204">
        <v>1</v>
      </c>
      <c r="D123" s="205">
        <v>800</v>
      </c>
      <c r="E123" s="206">
        <v>120</v>
      </c>
      <c r="F123" s="207">
        <f>C123*(D123*$D$3+E123*$E$3)</f>
        <v>1538.1695500161647</v>
      </c>
      <c r="H123" s="100"/>
      <c r="I123" s="100"/>
      <c r="J123" s="100"/>
    </row>
    <row r="124" spans="1:10" s="96" customFormat="1" ht="24.75" customHeight="1">
      <c r="A124" s="208" t="s">
        <v>432</v>
      </c>
      <c r="B124" s="224" t="s">
        <v>366</v>
      </c>
      <c r="C124" s="204">
        <v>1</v>
      </c>
      <c r="D124" s="205">
        <v>1200</v>
      </c>
      <c r="E124" s="206">
        <v>140</v>
      </c>
      <c r="F124" s="207">
        <f>C124*(D124*$D$3+E124*$E$3)</f>
        <v>2244.8932716117843</v>
      </c>
      <c r="H124" s="100"/>
      <c r="I124" s="100"/>
      <c r="J124" s="100">
        <v>4</v>
      </c>
    </row>
    <row r="125" spans="1:10" s="96" customFormat="1" ht="24.75" customHeight="1">
      <c r="A125" s="211" t="s">
        <v>433</v>
      </c>
      <c r="B125" s="224" t="s">
        <v>366</v>
      </c>
      <c r="C125" s="204">
        <v>1</v>
      </c>
      <c r="D125" s="205">
        <v>1600</v>
      </c>
      <c r="E125" s="206">
        <v>175</v>
      </c>
      <c r="F125" s="207">
        <f>C125*(D125*$D$3+E125*$E$3)</f>
        <v>2975.0023882370774</v>
      </c>
      <c r="H125" s="100"/>
      <c r="I125" s="100"/>
      <c r="J125" s="100"/>
    </row>
    <row r="126" spans="1:10" ht="12.75" customHeight="1" thickBot="1">
      <c r="A126" s="212"/>
      <c r="B126" s="213"/>
      <c r="C126" s="214"/>
      <c r="D126" s="215"/>
      <c r="E126" s="216"/>
      <c r="F126" s="217"/>
    </row>
    <row r="127" spans="1:10" s="97" customFormat="1" ht="24.9" customHeight="1" thickBot="1">
      <c r="A127" s="218"/>
      <c r="B127" s="219"/>
      <c r="C127" s="220"/>
      <c r="D127" s="221"/>
      <c r="E127" s="222"/>
      <c r="F127" s="223">
        <f>SUM(F122:F125)</f>
        <v>7666.1588059701862</v>
      </c>
      <c r="H127" s="101"/>
      <c r="I127" s="101"/>
      <c r="J127" s="101"/>
    </row>
    <row r="128" spans="1:10" ht="12.75" customHeight="1">
      <c r="A128" s="196"/>
      <c r="B128" s="197"/>
      <c r="C128" s="198"/>
      <c r="D128" s="199"/>
      <c r="E128" s="200"/>
      <c r="F128" s="201"/>
    </row>
    <row r="129" spans="1:10" s="96" customFormat="1" ht="24.75" customHeight="1">
      <c r="A129" s="202" t="s">
        <v>434</v>
      </c>
      <c r="B129" s="203" t="s">
        <v>405</v>
      </c>
      <c r="C129" s="227"/>
      <c r="D129" s="205"/>
      <c r="E129" s="206"/>
      <c r="F129" s="207"/>
      <c r="H129" s="100"/>
      <c r="I129" s="100"/>
      <c r="J129" s="100"/>
    </row>
    <row r="130" spans="1:10" s="96" customFormat="1" ht="12.75" customHeight="1">
      <c r="A130" s="202"/>
      <c r="B130" s="203"/>
      <c r="C130" s="227"/>
      <c r="D130" s="205"/>
      <c r="E130" s="206"/>
      <c r="F130" s="207"/>
      <c r="H130" s="100"/>
      <c r="I130" s="100"/>
      <c r="J130" s="100"/>
    </row>
    <row r="131" spans="1:10" s="96" customFormat="1" ht="24.75" customHeight="1">
      <c r="A131" s="208" t="s">
        <v>435</v>
      </c>
      <c r="B131" s="224" t="s">
        <v>366</v>
      </c>
      <c r="C131" s="228">
        <v>1</v>
      </c>
      <c r="D131" s="205">
        <v>1250</v>
      </c>
      <c r="E131" s="206">
        <v>450</v>
      </c>
      <c r="F131" s="207">
        <f>IF(C131&gt;0,(D131*$D$3+E131*$E$3)*C131,"Rate Only")</f>
        <v>2812.6343349195449</v>
      </c>
      <c r="H131" s="100"/>
      <c r="I131" s="100"/>
      <c r="J131" s="100">
        <v>1</v>
      </c>
    </row>
    <row r="132" spans="1:10" s="96" customFormat="1" ht="24.75" customHeight="1">
      <c r="A132" s="208" t="s">
        <v>436</v>
      </c>
      <c r="B132" s="224" t="s">
        <v>366</v>
      </c>
      <c r="C132" s="228">
        <v>1</v>
      </c>
      <c r="D132" s="205">
        <v>1000</v>
      </c>
      <c r="E132" s="206">
        <v>450</v>
      </c>
      <c r="F132" s="207">
        <f>IF(C132&gt;0,(D132*$D$3+E132*$E$3)*C132,"Rate Only")</f>
        <v>2390.4198381136775</v>
      </c>
      <c r="H132" s="100"/>
      <c r="I132" s="100"/>
      <c r="J132" s="100">
        <v>4</v>
      </c>
    </row>
    <row r="133" spans="1:10" s="96" customFormat="1" ht="24.75" customHeight="1">
      <c r="A133" s="208" t="s">
        <v>437</v>
      </c>
      <c r="B133" s="224" t="s">
        <v>366</v>
      </c>
      <c r="C133" s="228">
        <v>1</v>
      </c>
      <c r="D133" s="205">
        <v>185</v>
      </c>
      <c r="E133" s="206">
        <v>45</v>
      </c>
      <c r="F133" s="207">
        <f>IF(C133&gt;0,(D133*$D$3+E133*$E$3)*C133,"Rate Only")</f>
        <v>382.59491272536269</v>
      </c>
      <c r="H133" s="100"/>
      <c r="I133" s="100"/>
      <c r="J133" s="100"/>
    </row>
    <row r="134" spans="1:10" ht="13.8" thickBot="1">
      <c r="A134" s="212"/>
      <c r="B134" s="213"/>
      <c r="C134" s="214"/>
      <c r="D134" s="215"/>
      <c r="E134" s="216"/>
      <c r="F134" s="217"/>
    </row>
    <row r="135" spans="1:10" s="97" customFormat="1" ht="24.9" customHeight="1" thickBot="1">
      <c r="A135" s="218"/>
      <c r="B135" s="219"/>
      <c r="C135" s="220"/>
      <c r="D135" s="221"/>
      <c r="E135" s="222"/>
      <c r="F135" s="223">
        <f>SUM(F131:F133)</f>
        <v>5585.649085758585</v>
      </c>
      <c r="H135" s="101"/>
      <c r="I135" s="101"/>
      <c r="J135" s="101"/>
    </row>
    <row r="136" spans="1:10" ht="12.75" customHeight="1">
      <c r="A136" s="196"/>
      <c r="B136" s="197"/>
      <c r="C136" s="198"/>
      <c r="D136" s="199"/>
      <c r="E136" s="200"/>
      <c r="F136" s="201"/>
    </row>
    <row r="137" spans="1:10" s="96" customFormat="1" ht="24.75" customHeight="1">
      <c r="A137" s="202" t="s">
        <v>438</v>
      </c>
      <c r="B137" s="203" t="s">
        <v>405</v>
      </c>
      <c r="C137" s="204"/>
      <c r="D137" s="205"/>
      <c r="E137" s="206"/>
      <c r="F137" s="207"/>
      <c r="H137" s="100"/>
      <c r="I137" s="100"/>
      <c r="J137" s="100"/>
    </row>
    <row r="138" spans="1:10" s="96" customFormat="1" ht="12.75" customHeight="1">
      <c r="A138" s="202"/>
      <c r="B138" s="203"/>
      <c r="C138" s="204"/>
      <c r="D138" s="205"/>
      <c r="E138" s="206"/>
      <c r="F138" s="207"/>
      <c r="H138" s="100"/>
      <c r="I138" s="100"/>
      <c r="J138" s="100"/>
    </row>
    <row r="139" spans="1:10" s="96" customFormat="1" ht="24.75" customHeight="1">
      <c r="A139" s="208" t="s">
        <v>439</v>
      </c>
      <c r="B139" s="224" t="s">
        <v>366</v>
      </c>
      <c r="C139" s="204">
        <v>1</v>
      </c>
      <c r="D139" s="205">
        <v>22.5</v>
      </c>
      <c r="E139" s="206">
        <v>10</v>
      </c>
      <c r="F139" s="207">
        <f>IF(C139&gt;0,(D139*$D$3+E139*$E$3)*C139,"Rate Only")</f>
        <v>53.589568065643796</v>
      </c>
      <c r="H139" s="100">
        <f>H38</f>
        <v>10</v>
      </c>
      <c r="I139" s="100"/>
      <c r="J139" s="100"/>
    </row>
    <row r="140" spans="1:10" s="96" customFormat="1" ht="24.75" customHeight="1">
      <c r="A140" s="208" t="s">
        <v>440</v>
      </c>
      <c r="B140" s="224" t="s">
        <v>366</v>
      </c>
      <c r="C140" s="204">
        <v>1</v>
      </c>
      <c r="D140" s="205">
        <v>24.5</v>
      </c>
      <c r="E140" s="206">
        <v>7</v>
      </c>
      <c r="F140" s="207">
        <f>IF(C140&gt;0,(D140*$D$3+E140*$E$3)*C140,"Rate Only")</f>
        <v>52.290205034156024</v>
      </c>
      <c r="H140" s="100"/>
      <c r="I140" s="100">
        <f>I34</f>
        <v>15</v>
      </c>
      <c r="J140" s="100"/>
    </row>
    <row r="141" spans="1:10" ht="12.75" customHeight="1" thickBot="1">
      <c r="A141" s="212"/>
      <c r="B141" s="213"/>
      <c r="C141" s="214"/>
      <c r="D141" s="215"/>
      <c r="E141" s="216"/>
      <c r="F141" s="217"/>
    </row>
    <row r="142" spans="1:10" s="97" customFormat="1" ht="24.9" customHeight="1" thickBot="1">
      <c r="A142" s="218"/>
      <c r="B142" s="219"/>
      <c r="C142" s="220"/>
      <c r="D142" s="221"/>
      <c r="E142" s="222"/>
      <c r="F142" s="223">
        <f>SUM(F139:F140)</f>
        <v>105.87977309979982</v>
      </c>
      <c r="H142" s="101"/>
      <c r="I142" s="101"/>
      <c r="J142" s="101"/>
    </row>
    <row r="143" spans="1:10" ht="12.75" customHeight="1">
      <c r="A143" s="196"/>
      <c r="B143" s="197"/>
      <c r="C143" s="198"/>
      <c r="D143" s="199"/>
      <c r="E143" s="200"/>
      <c r="F143" s="201"/>
    </row>
    <row r="144" spans="1:10" s="96" customFormat="1" ht="24.75" customHeight="1">
      <c r="A144" s="202" t="s">
        <v>303</v>
      </c>
      <c r="B144" s="203" t="s">
        <v>405</v>
      </c>
      <c r="C144" s="204"/>
      <c r="D144" s="205"/>
      <c r="E144" s="206"/>
      <c r="F144" s="207"/>
      <c r="H144" s="100"/>
      <c r="I144" s="100"/>
      <c r="J144" s="100"/>
    </row>
    <row r="145" spans="1:10" s="96" customFormat="1" ht="12" customHeight="1">
      <c r="A145" s="202"/>
      <c r="B145" s="203"/>
      <c r="C145" s="204"/>
      <c r="D145" s="205"/>
      <c r="E145" s="206"/>
      <c r="F145" s="207"/>
      <c r="H145" s="100"/>
      <c r="I145" s="100"/>
      <c r="J145" s="100"/>
    </row>
    <row r="146" spans="1:10" s="96" customFormat="1" ht="24.75" customHeight="1">
      <c r="A146" s="208" t="s">
        <v>441</v>
      </c>
      <c r="B146" s="224" t="s">
        <v>366</v>
      </c>
      <c r="C146" s="204">
        <v>1</v>
      </c>
      <c r="D146" s="205"/>
      <c r="E146" s="206">
        <v>5000</v>
      </c>
      <c r="F146" s="207">
        <f>IF(C146&gt;0,(D146*$D$3+E146*$E$3)*C146,"Rate Only")</f>
        <v>7795.1316765578631</v>
      </c>
      <c r="H146" s="100"/>
      <c r="I146" s="100"/>
      <c r="J146" s="100">
        <v>1</v>
      </c>
    </row>
    <row r="147" spans="1:10" ht="12.75" customHeight="1" thickBot="1">
      <c r="A147" s="212"/>
      <c r="B147" s="213"/>
      <c r="C147" s="214"/>
      <c r="D147" s="215"/>
      <c r="E147" s="216"/>
      <c r="F147" s="217"/>
    </row>
    <row r="148" spans="1:10" s="97" customFormat="1" ht="24.9" customHeight="1" thickBot="1">
      <c r="A148" s="218"/>
      <c r="B148" s="219"/>
      <c r="C148" s="220"/>
      <c r="D148" s="221"/>
      <c r="E148" s="222"/>
      <c r="F148" s="223">
        <f>SUM(F146)</f>
        <v>7795.1316765578631</v>
      </c>
      <c r="H148" s="101"/>
      <c r="I148" s="101"/>
      <c r="J148" s="101"/>
    </row>
    <row r="149" spans="1:10" ht="12.75" customHeight="1">
      <c r="A149" s="196"/>
      <c r="B149" s="197"/>
      <c r="C149" s="198"/>
      <c r="D149" s="199"/>
      <c r="E149" s="200"/>
      <c r="F149" s="201"/>
    </row>
    <row r="150" spans="1:10" s="96" customFormat="1" ht="24.75" customHeight="1">
      <c r="A150" s="202" t="s">
        <v>305</v>
      </c>
      <c r="B150" s="203" t="s">
        <v>405</v>
      </c>
      <c r="C150" s="204"/>
      <c r="D150" s="205"/>
      <c r="E150" s="206"/>
      <c r="F150" s="207"/>
      <c r="H150" s="100"/>
      <c r="I150" s="100"/>
      <c r="J150" s="100"/>
    </row>
    <row r="151" spans="1:10" s="96" customFormat="1" ht="12.75" customHeight="1">
      <c r="A151" s="202"/>
      <c r="B151" s="203"/>
      <c r="C151" s="204"/>
      <c r="D151" s="205"/>
      <c r="E151" s="206"/>
      <c r="F151" s="207"/>
      <c r="H151" s="100"/>
      <c r="I151" s="100"/>
      <c r="J151" s="100"/>
    </row>
    <row r="152" spans="1:10" s="96" customFormat="1" ht="24.75" customHeight="1">
      <c r="A152" s="208" t="s">
        <v>442</v>
      </c>
      <c r="B152" s="224" t="s">
        <v>366</v>
      </c>
      <c r="C152" s="204">
        <v>1</v>
      </c>
      <c r="D152" s="205">
        <v>4500</v>
      </c>
      <c r="E152" s="206">
        <v>650</v>
      </c>
      <c r="F152" s="207">
        <f>IF(C152&gt;0,(D152*$D$3+E152*$E$3)*C152,"Rate Only")</f>
        <v>8613.2280604581374</v>
      </c>
      <c r="H152" s="100"/>
      <c r="I152" s="100"/>
      <c r="J152" s="100"/>
    </row>
    <row r="153" spans="1:10" s="96" customFormat="1" ht="24.75" customHeight="1">
      <c r="A153" s="208" t="s">
        <v>443</v>
      </c>
      <c r="B153" s="224" t="s">
        <v>366</v>
      </c>
      <c r="C153" s="204">
        <v>1</v>
      </c>
      <c r="D153" s="205">
        <v>2600</v>
      </c>
      <c r="E153" s="206">
        <v>650</v>
      </c>
      <c r="F153" s="207">
        <f>IF(C153&gt;0,(D153*$D$3+E153*$E$3)*C153,"Rate Only")</f>
        <v>5404.3978847335438</v>
      </c>
      <c r="H153" s="100"/>
      <c r="I153" s="100"/>
      <c r="J153" s="100"/>
    </row>
    <row r="154" spans="1:10" s="96" customFormat="1" ht="24.75" customHeight="1">
      <c r="A154" s="208" t="s">
        <v>444</v>
      </c>
      <c r="B154" s="224" t="s">
        <v>366</v>
      </c>
      <c r="C154" s="204">
        <v>1</v>
      </c>
      <c r="D154" s="205">
        <v>2850</v>
      </c>
      <c r="E154" s="206">
        <v>450</v>
      </c>
      <c r="F154" s="207">
        <f>IF(C154&gt;0,(D154*$D$3+E154*$E$3)*C154,"Rate Only")</f>
        <v>5514.8071144770975</v>
      </c>
      <c r="H154" s="100"/>
      <c r="I154" s="100"/>
      <c r="J154" s="100">
        <v>1</v>
      </c>
    </row>
    <row r="155" spans="1:10" s="96" customFormat="1" ht="24.75" customHeight="1">
      <c r="A155" s="208" t="s">
        <v>445</v>
      </c>
      <c r="B155" s="224" t="s">
        <v>366</v>
      </c>
      <c r="C155" s="204">
        <v>1</v>
      </c>
      <c r="D155" s="205">
        <v>2200</v>
      </c>
      <c r="E155" s="206">
        <v>350</v>
      </c>
      <c r="F155" s="207">
        <f>IF(C155&gt;0,(D155*$D$3+E155*$E$3)*C155,"Rate Only")</f>
        <v>4261.1467892506844</v>
      </c>
      <c r="H155" s="100"/>
      <c r="I155" s="100"/>
      <c r="J155" s="100"/>
    </row>
    <row r="156" spans="1:10" s="96" customFormat="1" ht="24.75" customHeight="1">
      <c r="A156" s="211" t="s">
        <v>446</v>
      </c>
      <c r="B156" s="209" t="s">
        <v>447</v>
      </c>
      <c r="C156" s="204">
        <v>1</v>
      </c>
      <c r="D156" s="205">
        <v>12500</v>
      </c>
      <c r="E156" s="206"/>
      <c r="F156" s="207">
        <f>IF(C156&gt;0,(D156*$D$3+E156*$E$3)*C156,"Rate Only")</f>
        <v>21110.724840293373</v>
      </c>
      <c r="H156" s="100"/>
      <c r="I156" s="100"/>
      <c r="J156" s="100"/>
    </row>
    <row r="157" spans="1:10" s="96" customFormat="1" ht="24.75" customHeight="1">
      <c r="A157" s="208" t="s">
        <v>448</v>
      </c>
      <c r="B157" s="224" t="s">
        <v>366</v>
      </c>
      <c r="C157" s="204">
        <v>1</v>
      </c>
      <c r="D157" s="205">
        <v>68520</v>
      </c>
      <c r="E157" s="206">
        <v>8500</v>
      </c>
      <c r="F157" s="207">
        <f>IF(C157&gt;0,(D157*$D$3+E157*$E$3)*C157,"Rate Only")</f>
        <v>128972.27313470053</v>
      </c>
      <c r="H157" s="100"/>
      <c r="I157" s="100"/>
      <c r="J157" s="100"/>
    </row>
    <row r="158" spans="1:10" s="96" customFormat="1" ht="24.75" customHeight="1">
      <c r="A158" s="208" t="s">
        <v>449</v>
      </c>
      <c r="B158" s="224" t="s">
        <v>366</v>
      </c>
      <c r="C158" s="204">
        <v>1</v>
      </c>
      <c r="D158" s="205">
        <v>650</v>
      </c>
      <c r="E158" s="206">
        <v>350</v>
      </c>
      <c r="F158" s="207">
        <f>IF(C158&gt;0,(D158*$D$3+E158*$E$3)*C158,"Rate Only")</f>
        <v>1643.416909054306</v>
      </c>
      <c r="H158" s="100"/>
      <c r="I158" s="100"/>
      <c r="J158" s="100"/>
    </row>
    <row r="159" spans="1:10" s="96" customFormat="1" ht="24.75" customHeight="1">
      <c r="A159" s="208" t="s">
        <v>450</v>
      </c>
      <c r="B159" s="224" t="s">
        <v>81</v>
      </c>
      <c r="C159" s="204">
        <v>1</v>
      </c>
      <c r="D159" s="205">
        <v>450</v>
      </c>
      <c r="E159" s="206">
        <v>55</v>
      </c>
      <c r="F159" s="207">
        <f>IF(C159&gt;0,(D159*$D$3+E159*$E$3)*C159,"Rate Only")</f>
        <v>845.73254269269796</v>
      </c>
      <c r="H159" s="100"/>
      <c r="I159" s="100"/>
      <c r="J159" s="100"/>
    </row>
    <row r="160" spans="1:10" s="96" customFormat="1" ht="24.75" customHeight="1">
      <c r="A160" s="208" t="s">
        <v>451</v>
      </c>
      <c r="B160" s="224" t="s">
        <v>366</v>
      </c>
      <c r="C160" s="204">
        <v>1</v>
      </c>
      <c r="D160" s="205">
        <v>400</v>
      </c>
      <c r="E160" s="206">
        <v>35</v>
      </c>
      <c r="F160" s="207">
        <f>IF(C160&gt;0,(D160*$D$3+E160*$E$3)*C160,"Rate Only")</f>
        <v>730.10911662529304</v>
      </c>
      <c r="H160" s="100"/>
      <c r="I160" s="100"/>
      <c r="J160" s="100"/>
    </row>
    <row r="161" spans="1:10" s="96" customFormat="1" ht="24.75" customHeight="1">
      <c r="A161" s="208" t="s">
        <v>452</v>
      </c>
      <c r="B161" s="224" t="s">
        <v>366</v>
      </c>
      <c r="C161" s="204">
        <v>1</v>
      </c>
      <c r="D161" s="205">
        <v>400</v>
      </c>
      <c r="E161" s="206">
        <v>120</v>
      </c>
      <c r="F161" s="207">
        <f>IF(C161&gt;0,(D161*$D$3+E161*$E$3)*C161,"Rate Only")</f>
        <v>862.62635512677673</v>
      </c>
      <c r="H161" s="100"/>
      <c r="I161" s="100"/>
      <c r="J161" s="100"/>
    </row>
    <row r="162" spans="1:10" s="96" customFormat="1" ht="24.75" customHeight="1">
      <c r="A162" s="208" t="s">
        <v>453</v>
      </c>
      <c r="B162" s="224" t="s">
        <v>366</v>
      </c>
      <c r="C162" s="204">
        <v>1</v>
      </c>
      <c r="D162" s="205">
        <v>150</v>
      </c>
      <c r="E162" s="206">
        <v>20</v>
      </c>
      <c r="F162" s="207">
        <f>IF(C162&gt;0,(D162*$D$3+E162*$E$3)*C162,"Rate Only")</f>
        <v>284.50922478975195</v>
      </c>
      <c r="H162" s="100"/>
      <c r="I162" s="100"/>
      <c r="J162" s="100"/>
    </row>
    <row r="163" spans="1:10" s="96" customFormat="1" ht="24.75" customHeight="1">
      <c r="A163" s="211" t="s">
        <v>454</v>
      </c>
      <c r="B163" s="209" t="s">
        <v>366</v>
      </c>
      <c r="C163" s="204">
        <v>1</v>
      </c>
      <c r="D163" s="205">
        <v>50</v>
      </c>
      <c r="E163" s="206">
        <v>20</v>
      </c>
      <c r="F163" s="207">
        <f>IF(C163&gt;0,(D163*$D$3+E163*$E$3)*C163,"Rate Only")</f>
        <v>115.62342606740495</v>
      </c>
      <c r="H163" s="100"/>
      <c r="I163" s="100"/>
      <c r="J163" s="100">
        <v>1</v>
      </c>
    </row>
    <row r="164" spans="1:10" s="96" customFormat="1" ht="24.75" customHeight="1">
      <c r="A164" s="211" t="s">
        <v>455</v>
      </c>
      <c r="B164" s="224" t="s">
        <v>76</v>
      </c>
      <c r="C164" s="204">
        <v>1</v>
      </c>
      <c r="D164" s="205">
        <v>40</v>
      </c>
      <c r="E164" s="206">
        <v>15</v>
      </c>
      <c r="F164" s="207">
        <f>IF(C164&gt;0,(D164*$D$3+E164*$E$3)*C164,"Rate Only")</f>
        <v>90.939714518612391</v>
      </c>
      <c r="H164" s="100"/>
      <c r="I164" s="100"/>
      <c r="J164" s="100">
        <f>J112</f>
        <v>1</v>
      </c>
    </row>
    <row r="165" spans="1:10" ht="12.75" customHeight="1" thickBot="1">
      <c r="A165" s="212"/>
      <c r="B165" s="213"/>
      <c r="C165" s="214"/>
      <c r="D165" s="215"/>
      <c r="E165" s="216"/>
      <c r="F165" s="217"/>
    </row>
    <row r="166" spans="1:10" s="97" customFormat="1" ht="24.9" customHeight="1" thickBot="1">
      <c r="A166" s="218"/>
      <c r="B166" s="219"/>
      <c r="C166" s="220"/>
      <c r="D166" s="221"/>
      <c r="E166" s="222"/>
      <c r="F166" s="223">
        <f>SUM(F152:F164)</f>
        <v>178449.5351127882</v>
      </c>
      <c r="H166" s="101"/>
      <c r="I166" s="101"/>
      <c r="J166" s="101"/>
    </row>
    <row r="167" spans="1:10" ht="12.75" customHeight="1">
      <c r="A167" s="196"/>
      <c r="B167" s="197"/>
      <c r="C167" s="198"/>
      <c r="D167" s="199"/>
      <c r="E167" s="200"/>
      <c r="F167" s="201"/>
    </row>
    <row r="168" spans="1:10" s="96" customFormat="1" ht="24.75" customHeight="1">
      <c r="A168" s="202" t="s">
        <v>456</v>
      </c>
      <c r="B168" s="203" t="s">
        <v>405</v>
      </c>
      <c r="C168" s="204"/>
      <c r="D168" s="205"/>
      <c r="E168" s="206"/>
      <c r="F168" s="207"/>
      <c r="H168" s="100"/>
      <c r="I168" s="100"/>
      <c r="J168" s="100"/>
    </row>
    <row r="169" spans="1:10" s="96" customFormat="1" ht="12.75" customHeight="1">
      <c r="A169" s="202"/>
      <c r="B169" s="203"/>
      <c r="C169" s="204"/>
      <c r="D169" s="205"/>
      <c r="E169" s="206"/>
      <c r="F169" s="207"/>
      <c r="H169" s="100"/>
      <c r="I169" s="100"/>
      <c r="J169" s="100"/>
    </row>
    <row r="170" spans="1:10" s="96" customFormat="1" ht="24.75" customHeight="1">
      <c r="A170" s="236" t="s">
        <v>457</v>
      </c>
      <c r="B170" s="224" t="s">
        <v>76</v>
      </c>
      <c r="C170" s="204">
        <v>1</v>
      </c>
      <c r="D170" s="205">
        <v>95</v>
      </c>
      <c r="E170" s="206">
        <v>25</v>
      </c>
      <c r="F170" s="207">
        <f>IF(C170&gt;0,(D170*$D$3+E170*$E$3)*C170,"Rate Only")</f>
        <v>199.41716716901894</v>
      </c>
      <c r="H170" s="100"/>
      <c r="I170" s="100">
        <f>I140*4</f>
        <v>60</v>
      </c>
      <c r="J170" s="100"/>
    </row>
    <row r="171" spans="1:10" s="96" customFormat="1" ht="24.75" customHeight="1">
      <c r="A171" s="208" t="s">
        <v>458</v>
      </c>
      <c r="B171" s="224" t="s">
        <v>76</v>
      </c>
      <c r="C171" s="204">
        <v>1</v>
      </c>
      <c r="D171" s="205">
        <v>150</v>
      </c>
      <c r="E171" s="206">
        <v>35</v>
      </c>
      <c r="F171" s="207">
        <f>IF(C171&gt;0,(D171*$D$3+E171*$E$3)*C171,"Rate Only")</f>
        <v>307.89461981942554</v>
      </c>
      <c r="H171" s="100"/>
      <c r="I171" s="100">
        <f>I170</f>
        <v>60</v>
      </c>
      <c r="J171" s="100"/>
    </row>
    <row r="172" spans="1:10" s="96" customFormat="1" ht="24.75" customHeight="1">
      <c r="A172" s="208" t="s">
        <v>459</v>
      </c>
      <c r="B172" s="224" t="s">
        <v>76</v>
      </c>
      <c r="C172" s="204">
        <v>1</v>
      </c>
      <c r="D172" s="205">
        <v>158</v>
      </c>
      <c r="E172" s="206">
        <v>25</v>
      </c>
      <c r="F172" s="207">
        <f>IF(C172&gt;0,(D172*$D$3+E172*$E$3)*C172,"Rate Only")</f>
        <v>305.81522036409757</v>
      </c>
      <c r="H172" s="100"/>
      <c r="I172" s="100">
        <f>I170</f>
        <v>60</v>
      </c>
      <c r="J172" s="100"/>
    </row>
    <row r="173" spans="1:10" s="96" customFormat="1" ht="24.75" customHeight="1">
      <c r="A173" s="208" t="s">
        <v>460</v>
      </c>
      <c r="B173" s="224" t="s">
        <v>76</v>
      </c>
      <c r="C173" s="204">
        <v>1</v>
      </c>
      <c r="D173" s="205">
        <v>395</v>
      </c>
      <c r="E173" s="206">
        <v>65</v>
      </c>
      <c r="F173" s="207">
        <f>IF(C173&gt;0,(D173*$D$3+E173*$E$3)*C173,"Rate Only")</f>
        <v>768.43561674852276</v>
      </c>
      <c r="H173" s="100"/>
      <c r="I173" s="100">
        <f>I170</f>
        <v>60</v>
      </c>
      <c r="J173" s="100"/>
    </row>
    <row r="174" spans="1:10" s="96" customFormat="1" ht="24.75" customHeight="1">
      <c r="A174" s="208" t="s">
        <v>461</v>
      </c>
      <c r="B174" s="224" t="s">
        <v>76</v>
      </c>
      <c r="C174" s="204">
        <v>1</v>
      </c>
      <c r="D174" s="205">
        <v>15</v>
      </c>
      <c r="E174" s="206">
        <v>5</v>
      </c>
      <c r="F174" s="207">
        <f>IF(C174&gt;0,(D174*$D$3+E174*$E$3)*C174,"Rate Only")</f>
        <v>33.128001484909909</v>
      </c>
      <c r="H174" s="100"/>
      <c r="I174" s="100">
        <f>I170</f>
        <v>60</v>
      </c>
      <c r="J174" s="100"/>
    </row>
    <row r="175" spans="1:10" s="96" customFormat="1" ht="24.75" customHeight="1">
      <c r="A175" s="208" t="s">
        <v>462</v>
      </c>
      <c r="B175" s="224" t="s">
        <v>76</v>
      </c>
      <c r="C175" s="204">
        <v>1</v>
      </c>
      <c r="D175" s="205">
        <v>1500</v>
      </c>
      <c r="E175" s="206">
        <v>500</v>
      </c>
      <c r="F175" s="207">
        <f>IF(C175&gt;0,(D175*$D$3+E175*$E$3)*C175,"Rate Only")</f>
        <v>3312.800148490991</v>
      </c>
      <c r="H175" s="100"/>
      <c r="I175" s="100">
        <f>I170</f>
        <v>60</v>
      </c>
      <c r="J175" s="100"/>
    </row>
    <row r="176" spans="1:10" s="96" customFormat="1" ht="24.75" customHeight="1">
      <c r="A176" s="208" t="s">
        <v>463</v>
      </c>
      <c r="B176" s="224" t="s">
        <v>76</v>
      </c>
      <c r="C176" s="204">
        <v>1</v>
      </c>
      <c r="D176" s="205"/>
      <c r="E176" s="206">
        <v>95</v>
      </c>
      <c r="F176" s="207">
        <f>IF(C176&gt;0,(D176*$D$3+E176*$E$3)*C176,"Rate Only")</f>
        <v>148.10750185459938</v>
      </c>
      <c r="H176" s="100"/>
      <c r="I176" s="100"/>
      <c r="J176" s="100"/>
    </row>
    <row r="177" spans="1:10" s="96" customFormat="1" ht="24.75" customHeight="1">
      <c r="A177" s="208" t="s">
        <v>463</v>
      </c>
      <c r="B177" s="224" t="s">
        <v>76</v>
      </c>
      <c r="C177" s="204">
        <v>1</v>
      </c>
      <c r="D177" s="205"/>
      <c r="E177" s="206">
        <v>95</v>
      </c>
      <c r="F177" s="207">
        <f>IF(C177&gt;0,(D177*$D$3+E177*$E$3)*C177,"Rate Only")</f>
        <v>148.10750185459938</v>
      </c>
      <c r="H177" s="100"/>
      <c r="I177" s="100"/>
      <c r="J177" s="100"/>
    </row>
    <row r="178" spans="1:10" s="96" customFormat="1" ht="24.75" customHeight="1">
      <c r="A178" s="211" t="s">
        <v>464</v>
      </c>
      <c r="B178" s="209" t="s">
        <v>366</v>
      </c>
      <c r="C178" s="204">
        <v>1</v>
      </c>
      <c r="D178" s="205"/>
      <c r="E178" s="206">
        <v>60</v>
      </c>
      <c r="F178" s="207">
        <f>IF(C178&gt;0,(D178*$D$3+E178*$E$3)*C178,"Rate Only")</f>
        <v>93.541580118694355</v>
      </c>
      <c r="H178" s="100"/>
      <c r="I178" s="100">
        <f>I170</f>
        <v>60</v>
      </c>
      <c r="J178" s="100"/>
    </row>
    <row r="179" spans="1:10" ht="12.75" customHeight="1" thickBot="1">
      <c r="A179" s="212"/>
      <c r="B179" s="213"/>
      <c r="C179" s="214"/>
      <c r="D179" s="215"/>
      <c r="E179" s="216"/>
      <c r="F179" s="217"/>
    </row>
    <row r="180" spans="1:10" s="97" customFormat="1" ht="24.9" customHeight="1" thickBot="1">
      <c r="A180" s="218"/>
      <c r="B180" s="219"/>
      <c r="C180" s="220"/>
      <c r="D180" s="221"/>
      <c r="E180" s="222"/>
      <c r="F180" s="223">
        <f>SUM(F170:F178)</f>
        <v>5317.2473579048592</v>
      </c>
      <c r="H180" s="101"/>
      <c r="I180" s="101"/>
      <c r="J180" s="101"/>
    </row>
    <row r="181" spans="1:10" ht="12.75" customHeight="1">
      <c r="A181" s="196"/>
      <c r="B181" s="197"/>
      <c r="C181" s="198"/>
      <c r="D181" s="199"/>
      <c r="E181" s="200"/>
      <c r="F181" s="201"/>
    </row>
    <row r="182" spans="1:10" s="96" customFormat="1" ht="24.75" customHeight="1">
      <c r="A182" s="202" t="s">
        <v>465</v>
      </c>
      <c r="B182" s="209"/>
      <c r="C182" s="204"/>
      <c r="D182" s="205"/>
      <c r="E182" s="206"/>
      <c r="F182" s="207"/>
      <c r="H182" s="100"/>
      <c r="I182" s="100"/>
      <c r="J182" s="100"/>
    </row>
    <row r="183" spans="1:10" s="96" customFormat="1" ht="12.75" customHeight="1">
      <c r="A183" s="202"/>
      <c r="B183" s="209"/>
      <c r="C183" s="204"/>
      <c r="D183" s="205"/>
      <c r="E183" s="206"/>
      <c r="F183" s="207"/>
      <c r="H183" s="100"/>
      <c r="I183" s="100"/>
      <c r="J183" s="100"/>
    </row>
    <row r="184" spans="1:10" s="96" customFormat="1" ht="24.75" customHeight="1">
      <c r="A184" s="208" t="s">
        <v>466</v>
      </c>
      <c r="B184" s="224" t="s">
        <v>366</v>
      </c>
      <c r="C184" s="204"/>
      <c r="D184" s="205"/>
      <c r="E184" s="206"/>
      <c r="F184" s="207"/>
      <c r="H184" s="100"/>
      <c r="I184" s="100"/>
      <c r="J184" s="100"/>
    </row>
    <row r="185" spans="1:10" s="96" customFormat="1" ht="24.75" customHeight="1">
      <c r="A185" s="208" t="s">
        <v>367</v>
      </c>
      <c r="B185" s="224" t="s">
        <v>366</v>
      </c>
      <c r="C185" s="204"/>
      <c r="D185" s="205"/>
      <c r="E185" s="206"/>
      <c r="F185" s="207"/>
      <c r="H185" s="100"/>
      <c r="I185" s="100"/>
      <c r="J185" s="100"/>
    </row>
    <row r="186" spans="1:10" s="96" customFormat="1" ht="24.75" customHeight="1">
      <c r="A186" s="208" t="s">
        <v>467</v>
      </c>
      <c r="B186" s="224" t="s">
        <v>366</v>
      </c>
      <c r="C186" s="204">
        <v>1</v>
      </c>
      <c r="D186" s="205">
        <v>750</v>
      </c>
      <c r="E186" s="206">
        <v>95</v>
      </c>
      <c r="F186" s="207">
        <f>IF(C186&gt;0,(D186*$D$3+E186*$E$3)*C186,"Rate Only")</f>
        <v>1414.7509922722018</v>
      </c>
      <c r="H186" s="100"/>
      <c r="I186" s="100"/>
      <c r="J186" s="100"/>
    </row>
    <row r="187" spans="1:10" s="96" customFormat="1" ht="24.75" customHeight="1">
      <c r="A187" s="208" t="s">
        <v>367</v>
      </c>
      <c r="B187" s="224" t="s">
        <v>366</v>
      </c>
      <c r="C187" s="204">
        <v>1</v>
      </c>
      <c r="D187" s="205">
        <v>1350</v>
      </c>
      <c r="E187" s="206">
        <v>75</v>
      </c>
      <c r="F187" s="207">
        <f>IF(C187&gt;0,(D187*$D$3+E187*$E$3)*C187,"Rate Only")</f>
        <v>2396.8852579000522</v>
      </c>
      <c r="H187" s="100"/>
      <c r="I187" s="100"/>
      <c r="J187" s="100"/>
    </row>
    <row r="188" spans="1:10" s="96" customFormat="1" ht="24.75" customHeight="1">
      <c r="A188" s="211" t="s">
        <v>468</v>
      </c>
      <c r="B188" s="224" t="s">
        <v>366</v>
      </c>
      <c r="C188" s="204">
        <v>1</v>
      </c>
      <c r="D188" s="205">
        <v>310</v>
      </c>
      <c r="E188" s="206">
        <v>35</v>
      </c>
      <c r="F188" s="207">
        <f>IF(C188&gt;0,(D188*$D$3+E188*$E$3)*C188,"Rate Only")</f>
        <v>578.11189777518075</v>
      </c>
      <c r="H188" s="100"/>
      <c r="I188" s="100"/>
      <c r="J188" s="100"/>
    </row>
    <row r="189" spans="1:10" s="96" customFormat="1" ht="24.75" customHeight="1">
      <c r="A189" s="208" t="s">
        <v>367</v>
      </c>
      <c r="B189" s="224" t="s">
        <v>366</v>
      </c>
      <c r="C189" s="204"/>
      <c r="D189" s="205"/>
      <c r="E189" s="206"/>
      <c r="F189" s="207"/>
      <c r="H189" s="100"/>
      <c r="I189" s="100"/>
      <c r="J189" s="100"/>
    </row>
    <row r="190" spans="1:10" ht="12.75" customHeight="1" thickBot="1">
      <c r="A190" s="225"/>
      <c r="B190" s="226"/>
      <c r="C190" s="214"/>
      <c r="D190" s="215"/>
      <c r="E190" s="216"/>
      <c r="F190" s="217"/>
    </row>
    <row r="191" spans="1:10" s="97" customFormat="1" ht="24.9" customHeight="1" thickBot="1">
      <c r="A191" s="218"/>
      <c r="B191" s="219"/>
      <c r="C191" s="220"/>
      <c r="D191" s="221"/>
      <c r="E191" s="222"/>
      <c r="F191" s="223">
        <f>SUM(F184:F189)</f>
        <v>4389.7481479474354</v>
      </c>
      <c r="H191" s="101"/>
      <c r="I191" s="101"/>
      <c r="J191" s="101"/>
    </row>
    <row r="192" spans="1:10" ht="12.75" customHeight="1">
      <c r="A192" s="196"/>
      <c r="B192" s="197"/>
      <c r="C192" s="198"/>
      <c r="D192" s="199"/>
      <c r="E192" s="200"/>
      <c r="F192" s="201"/>
    </row>
    <row r="193" spans="1:10" s="96" customFormat="1" ht="24.75" customHeight="1">
      <c r="A193" s="202" t="s">
        <v>469</v>
      </c>
      <c r="B193" s="209"/>
      <c r="C193" s="204"/>
      <c r="D193" s="205"/>
      <c r="E193" s="206"/>
      <c r="F193" s="207"/>
      <c r="H193" s="100"/>
      <c r="I193" s="100"/>
      <c r="J193" s="100"/>
    </row>
    <row r="194" spans="1:10" s="96" customFormat="1" ht="12.75" customHeight="1">
      <c r="A194" s="202"/>
      <c r="B194" s="209"/>
      <c r="C194" s="204"/>
      <c r="D194" s="205"/>
      <c r="E194" s="206"/>
      <c r="F194" s="207"/>
      <c r="H194" s="100"/>
      <c r="I194" s="100"/>
      <c r="J194" s="100"/>
    </row>
    <row r="195" spans="1:10" s="96" customFormat="1" ht="24.75" customHeight="1">
      <c r="A195" s="208" t="s">
        <v>470</v>
      </c>
      <c r="B195" s="224" t="s">
        <v>81</v>
      </c>
      <c r="C195" s="204">
        <v>1</v>
      </c>
      <c r="D195" s="205">
        <v>26.5</v>
      </c>
      <c r="E195" s="206">
        <v>15</v>
      </c>
      <c r="F195" s="207">
        <f>IF(C195&gt;0,(D195*$D$3+E195*$E$3)*C195,"Rate Only")</f>
        <v>68.140131691095547</v>
      </c>
      <c r="H195" s="100"/>
      <c r="I195" s="100"/>
      <c r="J195" s="100"/>
    </row>
    <row r="196" spans="1:10" s="96" customFormat="1" ht="24.75" customHeight="1">
      <c r="A196" s="208" t="s">
        <v>471</v>
      </c>
      <c r="B196" s="224" t="s">
        <v>81</v>
      </c>
      <c r="C196" s="204">
        <v>1</v>
      </c>
      <c r="D196" s="205">
        <v>45.65</v>
      </c>
      <c r="E196" s="206">
        <v>20</v>
      </c>
      <c r="F196" s="207">
        <f>IF(C196&gt;0,(D196*$D$3+E196*$E$3)*C196,"Rate Only")</f>
        <v>108.27689382298284</v>
      </c>
      <c r="H196" s="100"/>
      <c r="I196" s="100">
        <f>I170*20</f>
        <v>1200</v>
      </c>
      <c r="J196" s="100"/>
    </row>
    <row r="197" spans="1:10" ht="13.8" thickBot="1">
      <c r="A197" s="237"/>
      <c r="B197" s="238"/>
      <c r="C197" s="239"/>
      <c r="D197" s="240"/>
      <c r="E197" s="241"/>
      <c r="F197" s="242"/>
    </row>
    <row r="198" spans="1:10" s="97" customFormat="1" ht="24.9" customHeight="1" thickBot="1">
      <c r="A198" s="218"/>
      <c r="B198" s="219"/>
      <c r="C198" s="220"/>
      <c r="D198" s="221"/>
      <c r="E198" s="222"/>
      <c r="F198" s="223">
        <f>SUM(F195:F196)</f>
        <v>176.41702551407838</v>
      </c>
      <c r="G198" s="97" t="s">
        <v>475</v>
      </c>
      <c r="H198" s="102">
        <f>SUMPRODUCT($F6:$F197, H6:H197)</f>
        <v>592229.82194418111</v>
      </c>
      <c r="I198" s="102">
        <f>SUMPRODUCT($F6:$F197, I6:I197)</f>
        <v>725530.91972672974</v>
      </c>
      <c r="J198" s="102">
        <f>SUMPRODUCT($F6:$F197, J6:J197)</f>
        <v>170013.18983137977</v>
      </c>
    </row>
    <row r="199" spans="1:10">
      <c r="F199" s="191">
        <f>SUM(H199:J199)</f>
        <v>24796.232191704843</v>
      </c>
      <c r="G199" s="95" t="s">
        <v>473</v>
      </c>
      <c r="H199" s="103">
        <f>H198/$I$170</f>
        <v>9870.4970324030182</v>
      </c>
      <c r="I199" s="103">
        <f>I198/$I$170</f>
        <v>12092.181995445495</v>
      </c>
      <c r="J199" s="103">
        <f t="shared" ref="J199" si="0">J198/$I$170</f>
        <v>2833.5531638563293</v>
      </c>
    </row>
    <row r="200" spans="1:10">
      <c r="G200" s="95" t="s">
        <v>474</v>
      </c>
      <c r="H200" s="98" t="s">
        <v>83</v>
      </c>
      <c r="I200" s="98" t="s">
        <v>83</v>
      </c>
      <c r="J200" s="98" t="s">
        <v>76</v>
      </c>
    </row>
    <row r="201" spans="1:10">
      <c r="G201" s="95" t="s">
        <v>472</v>
      </c>
      <c r="H201" s="103">
        <f>H198/(H96/3/1000)</f>
        <v>582521.13633853884</v>
      </c>
      <c r="I201" s="103">
        <f>I198/((SUM(I94:I98)/4+SUM(I99:I103))/1000)</f>
        <v>1001422.9395814075</v>
      </c>
      <c r="J201" s="103">
        <f>J198</f>
        <v>170013.18983137977</v>
      </c>
    </row>
  </sheetData>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ject_x0020_or_x0020_Accept_x0020_Candidate_MG_x0020_Review xmlns="8ec2cf5d-ef57-41be-a36e-a97ea5d4bd8d">true</Reject_x0020_or_x0020_Accept_x0020_Candidate_MG_x0020_Review>
    <TaxCatchAll xmlns="66658e94-0e53-4e3f-945b-f1e39d0dfe16" xsi:nil="true"/>
    <lcf76f155ced4ddcb4097134ff3c332f xmlns="8ec2cf5d-ef57-41be-a36e-a97ea5d4bd8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9C056B2C02A77419734561102CCD71D" ma:contentTypeVersion="20" ma:contentTypeDescription="Create a new document." ma:contentTypeScope="" ma:versionID="adeb59657b424038bb4802401f653424">
  <xsd:schema xmlns:xsd="http://www.w3.org/2001/XMLSchema" xmlns:xs="http://www.w3.org/2001/XMLSchema" xmlns:p="http://schemas.microsoft.com/office/2006/metadata/properties" xmlns:ns2="8ec2cf5d-ef57-41be-a36e-a97ea5d4bd8d" xmlns:ns3="66658e94-0e53-4e3f-945b-f1e39d0dfe16" targetNamespace="http://schemas.microsoft.com/office/2006/metadata/properties" ma:root="true" ma:fieldsID="06d53c355db5cc436824bb9c393682e9" ns2:_="" ns3:_="">
    <xsd:import namespace="8ec2cf5d-ef57-41be-a36e-a97ea5d4bd8d"/>
    <xsd:import namespace="66658e94-0e53-4e3f-945b-f1e39d0dfe1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Reject_x0020_or_x0020_Accept_x0020_Candidate_MG_x0020_Review"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c2cf5d-ef57-41be-a36e-a97ea5d4bd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Reject_x0020_or_x0020_Accept_x0020_Candidate_MG_x0020_Review" ma:index="21" nillable="true" ma:displayName="Reject or Accept Candidate_MG Review" ma:default="1" ma:internalName="Reject_x0020_or_x0020_Accept_x0020_Candidate_MG_x0020_Review">
      <xsd:simpleType>
        <xsd:restriction base="dms:Boolea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d1c8e54-2ef6-49df-852d-8863a364556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6658e94-0e53-4e3f-945b-f1e39d0dfe1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599da26e-ddd7-4348-8e47-f420ef3d1678}" ma:internalName="TaxCatchAll" ma:showField="CatchAllData" ma:web="66658e94-0e53-4e3f-945b-f1e39d0dfe1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295A44-1573-4D98-A0F7-ECFB88A1DDE8}">
  <ds:schemaRefs>
    <ds:schemaRef ds:uri="http://purl.org/dc/terms/"/>
    <ds:schemaRef ds:uri="http://schemas.microsoft.com/office/2006/metadata/properties"/>
    <ds:schemaRef ds:uri="http://www.w3.org/XML/1998/namespace"/>
    <ds:schemaRef ds:uri="http://purl.org/dc/elements/1.1/"/>
    <ds:schemaRef ds:uri="8ec2cf5d-ef57-41be-a36e-a97ea5d4bd8d"/>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66658e94-0e53-4e3f-945b-f1e39d0dfe16"/>
  </ds:schemaRefs>
</ds:datastoreItem>
</file>

<file path=customXml/itemProps2.xml><?xml version="1.0" encoding="utf-8"?>
<ds:datastoreItem xmlns:ds="http://schemas.openxmlformats.org/officeDocument/2006/customXml" ds:itemID="{8B2ECAFC-FEC3-40B9-8282-EE7D03EC98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c2cf5d-ef57-41be-a36e-a97ea5d4bd8d"/>
    <ds:schemaRef ds:uri="66658e94-0e53-4e3f-945b-f1e39d0dfe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26B10D-35A3-483A-9B7E-09F1D018E5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How to use</vt:lpstr>
      <vt:lpstr>Generic Diagram</vt:lpstr>
      <vt:lpstr>1. Inputs</vt:lpstr>
      <vt:lpstr>2. Asset Qty Calc</vt:lpstr>
      <vt:lpstr>3. Asset Cost Calc</vt:lpstr>
      <vt:lpstr>4.Escalation</vt:lpstr>
      <vt:lpstr>Detail costing substation works</vt:lpstr>
      <vt:lpstr>Detail costing retic</vt:lpstr>
      <vt:lpstr>Detail costing OHL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Jaco Alberts</dc:creator>
  <cp:keywords/>
  <dc:description/>
  <cp:lastModifiedBy>Zibusiso Ndlovu</cp:lastModifiedBy>
  <cp:revision/>
  <dcterms:created xsi:type="dcterms:W3CDTF">2015-06-05T18:17:20Z</dcterms:created>
  <dcterms:modified xsi:type="dcterms:W3CDTF">2026-08-12T21:21:43Z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0x01010029C056B2C02A77419734561102CCD71D</vt:lpwstr>
  </property>
  <property fmtid="{D5CDD505-2E9C-101B-9397-08002B2CF9AE}" pid="3" name="MediaServiceImageTags">
    <vt:lpwstr/>
  </property>
</Properties>
</file>